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csj-my.sharepoint.com/personal/thsm_eucsj_dk/Documents/Skrivebord/"/>
    </mc:Choice>
  </mc:AlternateContent>
  <xr:revisionPtr revIDLastSave="812" documentId="8_{6846FC71-981D-4B38-BA51-02A60D0FC1F4}" xr6:coauthVersionLast="47" xr6:coauthVersionMax="47" xr10:uidLastSave="{E8FC8804-83A9-4133-A974-1A5CFF2D1B0A}"/>
  <bookViews>
    <workbookView xWindow="-108" yWindow="-108" windowWidth="23256" windowHeight="13896" activeTab="1" xr2:uid="{00000000-000D-0000-FFFF-FFFF00000000}"/>
  </bookViews>
  <sheets>
    <sheet name="stikledning" sheetId="1" r:id="rId1"/>
    <sheet name="husledning" sheetId="2" r:id="rId2"/>
    <sheet name="Sheet1" sheetId="4" state="hidden" r:id="rId3"/>
    <sheet name="Henvisning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2" l="1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6" i="2"/>
  <c r="T26" i="2" s="1"/>
  <c r="S27" i="2"/>
  <c r="T27" i="2" s="1"/>
  <c r="S28" i="2"/>
  <c r="T28" i="2" s="1"/>
  <c r="S29" i="2"/>
  <c r="T29" i="2" s="1"/>
  <c r="S31" i="2"/>
  <c r="T31" i="2" s="1"/>
  <c r="S32" i="2"/>
  <c r="T32" i="2" s="1"/>
  <c r="S33" i="2"/>
  <c r="T33" i="2" s="1"/>
  <c r="S34" i="2"/>
  <c r="T34" i="2" s="1"/>
  <c r="S16" i="2"/>
  <c r="T16" i="2"/>
  <c r="G23" i="2"/>
  <c r="G24" i="2"/>
  <c r="G26" i="2"/>
  <c r="G27" i="2"/>
  <c r="G28" i="2"/>
  <c r="G29" i="2"/>
  <c r="G31" i="2"/>
  <c r="G32" i="2"/>
  <c r="G33" i="2"/>
  <c r="G34" i="2"/>
  <c r="K19" i="2"/>
  <c r="K21" i="2"/>
  <c r="K22" i="2"/>
  <c r="K23" i="2"/>
  <c r="K24" i="2"/>
  <c r="K26" i="2"/>
  <c r="K27" i="2"/>
  <c r="K28" i="2"/>
  <c r="K29" i="2"/>
  <c r="K31" i="2"/>
  <c r="K32" i="2"/>
  <c r="K33" i="2"/>
  <c r="K34" i="2"/>
  <c r="W17" i="2"/>
  <c r="W16" i="2"/>
  <c r="W15" i="2"/>
  <c r="W14" i="2"/>
  <c r="W13" i="2"/>
  <c r="W12" i="2"/>
  <c r="W11" i="2"/>
  <c r="W34" i="2"/>
  <c r="W33" i="2"/>
  <c r="W32" i="2"/>
  <c r="W31" i="2"/>
  <c r="W29" i="2"/>
  <c r="W28" i="2"/>
  <c r="W27" i="2"/>
  <c r="W26" i="2"/>
  <c r="W24" i="2"/>
  <c r="W23" i="2"/>
  <c r="W22" i="2"/>
  <c r="W21" i="2"/>
  <c r="W19" i="2"/>
  <c r="G19" i="2"/>
  <c r="G21" i="2"/>
  <c r="F21" i="2" s="1"/>
  <c r="L21" i="2" s="1"/>
  <c r="M21" i="2" s="1"/>
  <c r="N21" i="2" s="1"/>
  <c r="O21" i="2" s="1"/>
  <c r="P21" i="2" s="1"/>
  <c r="G22" i="2"/>
  <c r="K16" i="2"/>
  <c r="G16" i="2"/>
  <c r="G11" i="2"/>
  <c r="G12" i="2"/>
  <c r="G13" i="2"/>
  <c r="G14" i="2"/>
  <c r="G15" i="2"/>
  <c r="G17" i="2"/>
  <c r="U21" i="2" l="1"/>
  <c r="V21" i="2" s="1"/>
  <c r="K17" i="2"/>
  <c r="S17" i="2"/>
  <c r="S12" i="2" l="1"/>
  <c r="S13" i="2"/>
  <c r="K12" i="2"/>
  <c r="K13" i="2"/>
  <c r="Q6" i="2" l="1"/>
  <c r="P6" i="2"/>
  <c r="O6" i="2"/>
  <c r="N6" i="2"/>
  <c r="F16" i="2" s="1"/>
  <c r="L16" i="2" s="1"/>
  <c r="G29" i="1"/>
  <c r="G25" i="1"/>
  <c r="G27" i="1" s="1"/>
  <c r="F19" i="2" l="1"/>
  <c r="L19" i="2" s="1"/>
  <c r="M19" i="2" s="1"/>
  <c r="N19" i="2" s="1"/>
  <c r="O19" i="2" s="1"/>
  <c r="P19" i="2" s="1"/>
  <c r="U19" i="2" s="1"/>
  <c r="F22" i="2"/>
  <c r="L22" i="2" s="1"/>
  <c r="M22" i="2" s="1"/>
  <c r="N22" i="2" s="1"/>
  <c r="O22" i="2" s="1"/>
  <c r="P22" i="2" s="1"/>
  <c r="U22" i="2" s="1"/>
  <c r="V22" i="2" s="1"/>
  <c r="F23" i="2"/>
  <c r="L23" i="2" s="1"/>
  <c r="M23" i="2" s="1"/>
  <c r="N23" i="2" s="1"/>
  <c r="O23" i="2" s="1"/>
  <c r="P23" i="2" s="1"/>
  <c r="U23" i="2" s="1"/>
  <c r="F24" i="2"/>
  <c r="L24" i="2" s="1"/>
  <c r="M24" i="2" s="1"/>
  <c r="N24" i="2" s="1"/>
  <c r="O24" i="2" s="1"/>
  <c r="P24" i="2" s="1"/>
  <c r="U24" i="2" s="1"/>
  <c r="F26" i="2"/>
  <c r="L26" i="2" s="1"/>
  <c r="M26" i="2" s="1"/>
  <c r="N26" i="2" s="1"/>
  <c r="O26" i="2" s="1"/>
  <c r="P26" i="2" s="1"/>
  <c r="U26" i="2" s="1"/>
  <c r="V26" i="2" s="1"/>
  <c r="F27" i="2"/>
  <c r="L27" i="2" s="1"/>
  <c r="M27" i="2" s="1"/>
  <c r="N27" i="2" s="1"/>
  <c r="O27" i="2" s="1"/>
  <c r="P27" i="2" s="1"/>
  <c r="U27" i="2" s="1"/>
  <c r="F12" i="2"/>
  <c r="L12" i="2" s="1"/>
  <c r="F28" i="2"/>
  <c r="L28" i="2" s="1"/>
  <c r="M28" i="2" s="1"/>
  <c r="N28" i="2" s="1"/>
  <c r="O28" i="2" s="1"/>
  <c r="P28" i="2" s="1"/>
  <c r="U28" i="2" s="1"/>
  <c r="F31" i="2"/>
  <c r="L31" i="2" s="1"/>
  <c r="M31" i="2" s="1"/>
  <c r="N31" i="2" s="1"/>
  <c r="O31" i="2" s="1"/>
  <c r="P31" i="2" s="1"/>
  <c r="U31" i="2" s="1"/>
  <c r="F32" i="2"/>
  <c r="L32" i="2" s="1"/>
  <c r="M32" i="2" s="1"/>
  <c r="N32" i="2" s="1"/>
  <c r="O32" i="2" s="1"/>
  <c r="P32" i="2" s="1"/>
  <c r="U32" i="2" s="1"/>
  <c r="F14" i="2"/>
  <c r="F33" i="2"/>
  <c r="L33" i="2" s="1"/>
  <c r="M33" i="2" s="1"/>
  <c r="N33" i="2" s="1"/>
  <c r="O33" i="2" s="1"/>
  <c r="P33" i="2" s="1"/>
  <c r="U33" i="2" s="1"/>
  <c r="F34" i="2"/>
  <c r="L34" i="2" s="1"/>
  <c r="M34" i="2" s="1"/>
  <c r="N34" i="2" s="1"/>
  <c r="O34" i="2" s="1"/>
  <c r="P34" i="2" s="1"/>
  <c r="U34" i="2" s="1"/>
  <c r="F29" i="2"/>
  <c r="L29" i="2" s="1"/>
  <c r="M29" i="2" s="1"/>
  <c r="N29" i="2" s="1"/>
  <c r="O29" i="2" s="1"/>
  <c r="P29" i="2" s="1"/>
  <c r="U29" i="2" s="1"/>
  <c r="T17" i="2"/>
  <c r="F17" i="2"/>
  <c r="L17" i="2" s="1"/>
  <c r="T12" i="2"/>
  <c r="T13" i="2"/>
  <c r="F11" i="2"/>
  <c r="F13" i="2"/>
  <c r="L13" i="2" s="1"/>
  <c r="R4" i="3"/>
  <c r="R27" i="3"/>
  <c r="V23" i="2" l="1"/>
  <c r="V24" i="2" s="1"/>
  <c r="V27" i="2"/>
  <c r="V28" i="2" s="1"/>
  <c r="V29" i="2" s="1"/>
  <c r="V31" i="2" s="1"/>
  <c r="V32" i="2" s="1"/>
  <c r="V33" i="2" s="1"/>
  <c r="V34" i="2" s="1"/>
  <c r="R29" i="3"/>
  <c r="R28" i="3"/>
  <c r="F15" i="2" l="1"/>
  <c r="D5" i="2"/>
  <c r="S11" i="2"/>
  <c r="R26" i="3"/>
  <c r="D6" i="2" s="1"/>
  <c r="M16" i="2" s="1"/>
  <c r="N16" i="2" s="1"/>
  <c r="O16" i="2" s="1"/>
  <c r="P16" i="2" s="1"/>
  <c r="U16" i="2" s="1"/>
  <c r="R25" i="3"/>
  <c r="M17" i="2" l="1"/>
  <c r="N17" i="2" s="1"/>
  <c r="O17" i="2" s="1"/>
  <c r="P17" i="2" s="1"/>
  <c r="U17" i="2" s="1"/>
  <c r="M12" i="2"/>
  <c r="N12" i="2" s="1"/>
  <c r="O12" i="2" s="1"/>
  <c r="P12" i="2" s="1"/>
  <c r="U12" i="2" s="1"/>
  <c r="M13" i="2"/>
  <c r="N13" i="2" s="1"/>
  <c r="O13" i="2" s="1"/>
  <c r="P13" i="2" s="1"/>
  <c r="U13" i="2" s="1"/>
  <c r="T11" i="2"/>
  <c r="R5" i="3"/>
  <c r="P5" i="3" l="1"/>
  <c r="R3" i="3"/>
  <c r="S14" i="2" l="1"/>
  <c r="T14" i="2" s="1"/>
  <c r="S15" i="2"/>
  <c r="T15" i="2" s="1"/>
  <c r="L14" i="2" l="1"/>
  <c r="K14" i="2"/>
  <c r="L15" i="2"/>
  <c r="K15" i="2"/>
  <c r="L11" i="2" l="1"/>
  <c r="M11" i="2" s="1"/>
  <c r="G12" i="1" l="1"/>
  <c r="N11" i="2"/>
  <c r="K11" i="2"/>
  <c r="G8" i="1"/>
  <c r="G10" i="1" s="1"/>
  <c r="O11" i="2" l="1"/>
  <c r="P11" i="2" s="1"/>
  <c r="U11" i="2" s="1"/>
  <c r="V11" i="2" s="1"/>
  <c r="M14" i="2"/>
  <c r="N14" i="2" s="1"/>
  <c r="M15" i="2"/>
  <c r="N15" i="2" s="1"/>
  <c r="V12" i="2" l="1"/>
  <c r="O14" i="2"/>
  <c r="P14" i="2" s="1"/>
  <c r="U14" i="2" s="1"/>
  <c r="O15" i="2"/>
  <c r="P15" i="2" s="1"/>
  <c r="U15" i="2" s="1"/>
  <c r="V13" i="2" l="1"/>
  <c r="V14" i="2" s="1"/>
  <c r="V15" i="2" s="1"/>
  <c r="V16" i="2" l="1"/>
  <c r="V19" i="2" s="1"/>
  <c r="V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  <author>Thomas Hjorth Johansen</author>
  </authors>
  <commentList>
    <comment ref="P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Københavs energi</t>
        </r>
      </text>
    </comment>
    <comment ref="P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Kosangas</t>
        </r>
      </text>
    </comment>
    <comment ref="P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DGC
41 vol% N-gas og 51 vol% luft</t>
        </r>
      </text>
    </comment>
    <comment ref="P2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Kosangas</t>
        </r>
      </text>
    </comment>
    <comment ref="P27" authorId="1" shapeId="0" xr:uid="{BA8F3CEA-D1F6-492E-8CB1-22993D2B1071}">
      <text>
        <r>
          <rPr>
            <b/>
            <sz val="9"/>
            <color indexed="81"/>
            <rFont val="Tahoma"/>
            <family val="2"/>
          </rPr>
          <t>Thomas Hjorth Johansen:</t>
        </r>
        <r>
          <rPr>
            <sz val="9"/>
            <color indexed="81"/>
            <rFont val="Tahoma"/>
            <family val="2"/>
          </rPr>
          <t xml:space="preserve">
Hø ændret til 11 kWh grundet EU gas og diff Wø</t>
        </r>
      </text>
    </comment>
  </commentList>
</comments>
</file>

<file path=xl/sharedStrings.xml><?xml version="1.0" encoding="utf-8"?>
<sst xmlns="http://schemas.openxmlformats.org/spreadsheetml/2006/main" count="364" uniqueCount="208">
  <si>
    <t>Beregning af stikledning</t>
  </si>
  <si>
    <t>CU rør mm</t>
  </si>
  <si>
    <t>PE Rør mm</t>
  </si>
  <si>
    <t>Dimension</t>
  </si>
  <si>
    <t>Øi</t>
  </si>
  <si>
    <t>Tilladeligt tryktab</t>
  </si>
  <si>
    <t>bar</t>
  </si>
  <si>
    <t>15=13</t>
  </si>
  <si>
    <t>20=13,40</t>
  </si>
  <si>
    <t>DN 15</t>
  </si>
  <si>
    <t>18=16</t>
  </si>
  <si>
    <t>25=18,40</t>
  </si>
  <si>
    <t>DN 20</t>
  </si>
  <si>
    <t>tilgangstryk</t>
  </si>
  <si>
    <r>
      <t>p</t>
    </r>
    <r>
      <rPr>
        <vertAlign val="subscript"/>
        <sz val="14"/>
        <color theme="1"/>
        <rFont val="Arial Unicode MS"/>
        <family val="2"/>
      </rPr>
      <t>1</t>
    </r>
  </si>
  <si>
    <t>bar (a)</t>
  </si>
  <si>
    <t>22=20</t>
  </si>
  <si>
    <t>32=25,40</t>
  </si>
  <si>
    <t>DN 25</t>
  </si>
  <si>
    <t>afgangstryk</t>
  </si>
  <si>
    <r>
      <t>p</t>
    </r>
    <r>
      <rPr>
        <vertAlign val="subscript"/>
        <sz val="14"/>
        <color theme="1"/>
        <rFont val="Arial Unicode MS"/>
        <family val="2"/>
      </rPr>
      <t>2</t>
    </r>
    <r>
      <rPr>
        <sz val="11"/>
        <color theme="1"/>
        <rFont val="Calibri"/>
        <family val="2"/>
        <scheme val="minor"/>
      </rPr>
      <t/>
    </r>
  </si>
  <si>
    <t>28=25,60</t>
  </si>
  <si>
    <t>63=49,80</t>
  </si>
  <si>
    <t>DN 32</t>
  </si>
  <si>
    <t>ledningslængde</t>
  </si>
  <si>
    <t>L</t>
  </si>
  <si>
    <t>m</t>
  </si>
  <si>
    <t>35=32</t>
  </si>
  <si>
    <t>90=72,4</t>
  </si>
  <si>
    <t>DN 40</t>
  </si>
  <si>
    <t>indvendig diameter</t>
  </si>
  <si>
    <r>
      <t>d</t>
    </r>
    <r>
      <rPr>
        <vertAlign val="subscript"/>
        <sz val="14"/>
        <color theme="1"/>
        <rFont val="Arial Unicode MS"/>
        <family val="2"/>
      </rPr>
      <t>i</t>
    </r>
  </si>
  <si>
    <r>
      <t>d</t>
    </r>
    <r>
      <rPr>
        <vertAlign val="subscript"/>
        <sz val="14"/>
        <color theme="1"/>
        <rFont val="Arial Unicode MS"/>
        <family val="2"/>
      </rPr>
      <t xml:space="preserve">i </t>
    </r>
    <r>
      <rPr>
        <sz val="14"/>
        <color theme="1"/>
        <rFont val="Arial Unicode MS"/>
        <family val="2"/>
      </rPr>
      <t>=</t>
    </r>
  </si>
  <si>
    <t>mm</t>
  </si>
  <si>
    <t>42=39</t>
  </si>
  <si>
    <t>DN 50</t>
  </si>
  <si>
    <t>gasføring</t>
  </si>
  <si>
    <r>
      <t>q</t>
    </r>
    <r>
      <rPr>
        <vertAlign val="subscript"/>
        <sz val="14"/>
        <color theme="1"/>
        <rFont val="Arial Unicode MS"/>
        <family val="2"/>
      </rPr>
      <t>v</t>
    </r>
  </si>
  <si>
    <r>
      <t>m</t>
    </r>
    <r>
      <rPr>
        <vertAlign val="superscript"/>
        <sz val="11"/>
        <color theme="1"/>
        <rFont val="Arial Unicode MS"/>
        <family val="2"/>
      </rPr>
      <t>3</t>
    </r>
    <r>
      <rPr>
        <sz val="11"/>
        <color theme="1"/>
        <rFont val="Arial Unicode MS"/>
        <family val="2"/>
      </rPr>
      <t>/h</t>
    </r>
  </si>
  <si>
    <t>54=51</t>
  </si>
  <si>
    <t>DN 65</t>
  </si>
  <si>
    <t>faktor afhængig af gassens relative massefylde</t>
  </si>
  <si>
    <t>k</t>
  </si>
  <si>
    <t>-</t>
  </si>
  <si>
    <t>v =</t>
  </si>
  <si>
    <t>m/s</t>
  </si>
  <si>
    <t>DN 80</t>
  </si>
  <si>
    <t>DN 100</t>
  </si>
  <si>
    <t>Valgt diameter</t>
  </si>
  <si>
    <r>
      <t>d</t>
    </r>
    <r>
      <rPr>
        <vertAlign val="subscript"/>
        <sz val="11"/>
        <color theme="1"/>
        <rFont val="Arial Unicode MS"/>
        <family val="2"/>
      </rPr>
      <t xml:space="preserve">i </t>
    </r>
    <r>
      <rPr>
        <sz val="11"/>
        <color theme="1"/>
        <rFont val="Arial Unicode MS"/>
        <family val="2"/>
      </rPr>
      <t>=</t>
    </r>
  </si>
  <si>
    <t>DN 125</t>
  </si>
  <si>
    <t>PE-rør</t>
  </si>
  <si>
    <t>DN 150</t>
  </si>
  <si>
    <t>DN 200</t>
  </si>
  <si>
    <t>Dimensionering af husledning</t>
  </si>
  <si>
    <t>mbar</t>
  </si>
  <si>
    <t>Disse fælter må der IKKE skrives i!</t>
  </si>
  <si>
    <t>Tilladt tryktab</t>
  </si>
  <si>
    <t>Vælg}</t>
  </si>
  <si>
    <t>BIOGAS, opgraderet</t>
  </si>
  <si>
    <r>
      <t>H</t>
    </r>
    <r>
      <rPr>
        <vertAlign val="subscript"/>
        <sz val="11"/>
        <color theme="1"/>
        <rFont val="Calibri"/>
        <family val="2"/>
        <scheme val="minor"/>
      </rPr>
      <t>ø</t>
    </r>
  </si>
  <si>
    <t>Densitet</t>
  </si>
  <si>
    <t>Dynamisk viskositet</t>
  </si>
  <si>
    <t>Højdekorrekion</t>
  </si>
  <si>
    <t>ρ =</t>
  </si>
  <si>
    <r>
      <t>kg/m</t>
    </r>
    <r>
      <rPr>
        <vertAlign val="superscript"/>
        <sz val="10"/>
        <rFont val="Arial"/>
        <family val="2"/>
      </rPr>
      <t>3</t>
    </r>
  </si>
  <si>
    <t>Gassens densitet</t>
  </si>
  <si>
    <r>
      <t>Kwh/m</t>
    </r>
    <r>
      <rPr>
        <vertAlign val="superscript"/>
        <sz val="11"/>
        <color theme="1"/>
        <rFont val="Calibri"/>
        <family val="2"/>
        <scheme val="minor"/>
      </rPr>
      <t>3</t>
    </r>
    <r>
      <rPr>
        <vertAlign val="subscript"/>
        <sz val="11"/>
        <color theme="1"/>
        <rFont val="Calibri"/>
        <family val="2"/>
        <scheme val="minor"/>
      </rPr>
      <t>n</t>
    </r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</si>
  <si>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</si>
  <si>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kg/m</t>
    </r>
    <r>
      <rPr>
        <sz val="11"/>
        <color theme="1"/>
        <rFont val="Calibri"/>
        <family val="2"/>
      </rPr>
      <t>∙s</t>
    </r>
  </si>
  <si>
    <r>
      <rPr>
        <sz val="10"/>
        <rFont val="Calibri"/>
        <family val="2"/>
      </rPr>
      <t>[</t>
    </r>
    <r>
      <rPr>
        <sz val="10"/>
        <rFont val="Arial"/>
        <family val="2"/>
      </rPr>
      <t>mbar/m</t>
    </r>
    <r>
      <rPr>
        <sz val="10"/>
        <rFont val="Calibri"/>
        <family val="2"/>
      </rPr>
      <t>]</t>
    </r>
  </si>
  <si>
    <r>
      <rPr>
        <sz val="10"/>
        <rFont val="Courier New"/>
        <family val="3"/>
      </rPr>
      <t>ν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</si>
  <si>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/s</t>
    </r>
  </si>
  <si>
    <t>Gassens dynamiske viskositet</t>
  </si>
  <si>
    <t>Beregning af tryktab i gasrør</t>
  </si>
  <si>
    <t>Rørstrækning</t>
  </si>
  <si>
    <t>Antal Lejlighedder</t>
  </si>
  <si>
    <r>
      <t xml:space="preserve">Samlet Effekt </t>
    </r>
    <r>
      <rPr>
        <sz val="10"/>
        <rFont val="Calibri"/>
        <family val="2"/>
      </rPr>
      <t>ɸ</t>
    </r>
  </si>
  <si>
    <t>Effekt ɸ uden samtidighed</t>
  </si>
  <si>
    <t>Gasføring</t>
  </si>
  <si>
    <t>Samtidigheds faktor</t>
  </si>
  <si>
    <t>Længde</t>
  </si>
  <si>
    <t>Rørdiameter</t>
  </si>
  <si>
    <t>Ækv. Rørlængde</t>
  </si>
  <si>
    <t>Total længde</t>
  </si>
  <si>
    <t>Hastighed</t>
  </si>
  <si>
    <t>Re</t>
  </si>
  <si>
    <t>λ</t>
  </si>
  <si>
    <t>Tryktab pr. m rør</t>
  </si>
  <si>
    <t>Strækning tryktab</t>
  </si>
  <si>
    <t>Kote Start</t>
  </si>
  <si>
    <t>Kote Slut</t>
  </si>
  <si>
    <t>Lodret længde</t>
  </si>
  <si>
    <t>Trykændring højde</t>
  </si>
  <si>
    <t>Tryktab i alt</t>
  </si>
  <si>
    <t>Tryktab total</t>
  </si>
  <si>
    <t>stk</t>
  </si>
  <si>
    <t>KW</t>
  </si>
  <si>
    <r>
      <t>q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 xml:space="preserve"> </t>
    </r>
    <r>
      <rPr>
        <sz val="10"/>
        <rFont val="Calibri"/>
        <family val="2"/>
      </rPr>
      <t>[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  <r>
      <rPr>
        <sz val="10"/>
        <rFont val="Calibri"/>
        <family val="2"/>
      </rPr>
      <t>]</t>
    </r>
  </si>
  <si>
    <t>[-]</t>
  </si>
  <si>
    <r>
      <t xml:space="preserve">L  </t>
    </r>
    <r>
      <rPr>
        <sz val="10"/>
        <rFont val="Calibri"/>
        <family val="2"/>
      </rPr>
      <t>[</t>
    </r>
    <r>
      <rPr>
        <sz val="10"/>
        <rFont val="Arial"/>
        <family val="2"/>
      </rPr>
      <t>m</t>
    </r>
    <r>
      <rPr>
        <sz val="10"/>
        <rFont val="Calibri"/>
        <family val="2"/>
      </rPr>
      <t>]</t>
    </r>
  </si>
  <si>
    <r>
      <t>d</t>
    </r>
    <r>
      <rPr>
        <vertAlign val="subscript"/>
        <sz val="10"/>
        <rFont val="Arial"/>
        <family val="2"/>
      </rPr>
      <t xml:space="preserve">i </t>
    </r>
    <r>
      <rPr>
        <sz val="10"/>
        <rFont val="Arial"/>
        <family val="2"/>
      </rPr>
      <t xml:space="preserve"> </t>
    </r>
    <r>
      <rPr>
        <sz val="10"/>
        <rFont val="Calibri"/>
        <family val="2"/>
      </rPr>
      <t>[</t>
    </r>
    <r>
      <rPr>
        <sz val="10"/>
        <rFont val="Arial"/>
        <family val="2"/>
      </rPr>
      <t>mm</t>
    </r>
    <r>
      <rPr>
        <sz val="10"/>
        <rFont val="Calibri"/>
        <family val="2"/>
      </rPr>
      <t>]</t>
    </r>
  </si>
  <si>
    <r>
      <rPr>
        <sz val="10"/>
        <rFont val="Calibri"/>
        <family val="2"/>
      </rPr>
      <t>[</t>
    </r>
    <r>
      <rPr>
        <sz val="10"/>
        <rFont val="Arial"/>
        <family val="2"/>
      </rPr>
      <t>m</t>
    </r>
    <r>
      <rPr>
        <sz val="10"/>
        <rFont val="Calibri"/>
        <family val="2"/>
      </rPr>
      <t>]</t>
    </r>
  </si>
  <si>
    <r>
      <rPr>
        <sz val="10"/>
        <rFont val="Calibri"/>
        <family val="2"/>
      </rPr>
      <t>v   [</t>
    </r>
    <r>
      <rPr>
        <sz val="10"/>
        <rFont val="Arial"/>
        <family val="2"/>
      </rPr>
      <t>m/s</t>
    </r>
    <r>
      <rPr>
        <sz val="10"/>
        <rFont val="Calibri"/>
        <family val="2"/>
      </rPr>
      <t>]</t>
    </r>
  </si>
  <si>
    <r>
      <rPr>
        <sz val="10"/>
        <rFont val="Calibri"/>
        <family val="2"/>
      </rPr>
      <t>[</t>
    </r>
    <r>
      <rPr>
        <sz val="10"/>
        <rFont val="Arial"/>
        <family val="2"/>
      </rPr>
      <t>mbar</t>
    </r>
    <r>
      <rPr>
        <sz val="10"/>
        <rFont val="Calibri"/>
        <family val="2"/>
      </rPr>
      <t>]</t>
    </r>
  </si>
  <si>
    <t>[M]</t>
  </si>
  <si>
    <t>Beskrivelse</t>
  </si>
  <si>
    <r>
      <t>D</t>
    </r>
    <r>
      <rPr>
        <vertAlign val="subscript"/>
        <sz val="10"/>
        <color theme="1"/>
        <rFont val="Century Gothic"/>
        <family val="2"/>
      </rPr>
      <t>i</t>
    </r>
  </si>
  <si>
    <t>Ruhed</t>
  </si>
  <si>
    <t>reduktion</t>
  </si>
  <si>
    <t>90° vinkel</t>
  </si>
  <si>
    <t>45° vinkel</t>
  </si>
  <si>
    <t>90° bøjning</t>
  </si>
  <si>
    <t>45° bøjning</t>
  </si>
  <si>
    <t>90° tee udløb</t>
  </si>
  <si>
    <t>90° tee tilløb</t>
  </si>
  <si>
    <t>kryds udløb</t>
  </si>
  <si>
    <t>kuglehane</t>
  </si>
  <si>
    <t>Vinkel kuglehane</t>
  </si>
  <si>
    <r>
      <t>H</t>
    </r>
    <r>
      <rPr>
        <vertAlign val="subscript"/>
        <sz val="11"/>
        <color theme="1"/>
        <rFont val="Century Gothic"/>
        <family val="2"/>
      </rPr>
      <t>ø</t>
    </r>
  </si>
  <si>
    <t>Relativ Densitet</t>
  </si>
  <si>
    <t>RF 15</t>
  </si>
  <si>
    <t>Bygas</t>
  </si>
  <si>
    <t>RF 18</t>
  </si>
  <si>
    <t>Naturgas</t>
  </si>
  <si>
    <t>RF 22</t>
  </si>
  <si>
    <t>Flaskegas</t>
  </si>
  <si>
    <t>RF 28</t>
  </si>
  <si>
    <t>RF 35</t>
  </si>
  <si>
    <t>Antal lejligheder</t>
  </si>
  <si>
    <t>Gasfyrede kedler</t>
  </si>
  <si>
    <t>Komfurer/Gasradiatorer</t>
  </si>
  <si>
    <t>RF 42</t>
  </si>
  <si>
    <t>RF 54</t>
  </si>
  <si>
    <t>1 - 2</t>
  </si>
  <si>
    <t>RF 65</t>
  </si>
  <si>
    <t>3 - 5</t>
  </si>
  <si>
    <t>RF 80</t>
  </si>
  <si>
    <t>6 - 10</t>
  </si>
  <si>
    <t>RF 100</t>
  </si>
  <si>
    <t>11 - 15</t>
  </si>
  <si>
    <t>Cu 6</t>
  </si>
  <si>
    <t>15 - 20</t>
  </si>
  <si>
    <t>Cu 8</t>
  </si>
  <si>
    <t>20+</t>
  </si>
  <si>
    <t>Cu 10</t>
  </si>
  <si>
    <t>Cu 12</t>
  </si>
  <si>
    <t>Cu 15</t>
  </si>
  <si>
    <t>Anlæg:</t>
  </si>
  <si>
    <t>Maks. Tilladt tryktab</t>
  </si>
  <si>
    <t>Cu 18</t>
  </si>
  <si>
    <t>Cu 22</t>
  </si>
  <si>
    <t>Cu 28</t>
  </si>
  <si>
    <t>Cu 35</t>
  </si>
  <si>
    <t>1000-4000</t>
  </si>
  <si>
    <t>Cu 42</t>
  </si>
  <si>
    <t>Cu 54</t>
  </si>
  <si>
    <t>Højdekorrektion</t>
  </si>
  <si>
    <t>PEM 16</t>
  </si>
  <si>
    <t>kg/m∙s</t>
  </si>
  <si>
    <t>[mbar/m]</t>
  </si>
  <si>
    <t>PEM 25</t>
  </si>
  <si>
    <t>PEM 32</t>
  </si>
  <si>
    <t>PEM 40</t>
  </si>
  <si>
    <t>PEM 50</t>
  </si>
  <si>
    <t>BIOGAS, ikke opgraderet</t>
  </si>
  <si>
    <t>PEM 63</t>
  </si>
  <si>
    <t>PEM 75</t>
  </si>
  <si>
    <t>Brint 5% + N-gas</t>
  </si>
  <si>
    <t>PEM 90</t>
  </si>
  <si>
    <t xml:space="preserve">Brint 100% </t>
  </si>
  <si>
    <t>GR ⅛"</t>
  </si>
  <si>
    <t>GR ¼"</t>
  </si>
  <si>
    <t>GR ⅜"</t>
  </si>
  <si>
    <t>GR ½"</t>
  </si>
  <si>
    <t>GR ¾"</t>
  </si>
  <si>
    <t>GR 1"</t>
  </si>
  <si>
    <t>GR 1 ¼"</t>
  </si>
  <si>
    <t>GR 1 ½"</t>
  </si>
  <si>
    <t>GR 2"</t>
  </si>
  <si>
    <t>GR 2 ½"</t>
  </si>
  <si>
    <t>GR 3"</t>
  </si>
  <si>
    <t>GR 4"</t>
  </si>
  <si>
    <t>GR 5"</t>
  </si>
  <si>
    <t>GR 6"</t>
  </si>
  <si>
    <t>Flexible 18</t>
  </si>
  <si>
    <t>Flexible 25</t>
  </si>
  <si>
    <t>Flexible 30</t>
  </si>
  <si>
    <t>1 Kedler  2 Komfurer</t>
  </si>
  <si>
    <t>Reg-A</t>
  </si>
  <si>
    <t>A-B</t>
  </si>
  <si>
    <t>B-C</t>
  </si>
  <si>
    <t>C-D</t>
  </si>
  <si>
    <t>D-E</t>
  </si>
  <si>
    <t>B-B1</t>
  </si>
  <si>
    <t>B1-B2</t>
  </si>
  <si>
    <t>C-C1</t>
  </si>
  <si>
    <t>C1-C2</t>
  </si>
  <si>
    <t>B4-Måler</t>
  </si>
  <si>
    <t>Måler- komfur</t>
  </si>
  <si>
    <t>C2-Måler</t>
  </si>
  <si>
    <t>Måler-Komfur</t>
  </si>
  <si>
    <t>D-D1</t>
  </si>
  <si>
    <t>D1-D2</t>
  </si>
  <si>
    <t>D2-Måler</t>
  </si>
  <si>
    <t>E-TØR1</t>
  </si>
  <si>
    <t>E-TØR2</t>
  </si>
  <si>
    <t>A-Kedel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</si>
</sst>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14"/>
      <color theme="1"/>
      <name val="Arial Unicode MS"/>
      <family val="2"/>
    </font>
    <font>
      <vertAlign val="subscript"/>
      <sz val="14"/>
      <color theme="1"/>
      <name val="Arial Unicode MS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Arial Unicode MS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22"/>
      <name val="Arial"/>
      <family val="2"/>
    </font>
    <font>
      <sz val="10"/>
      <name val="Courier New"/>
      <family val="3"/>
    </font>
    <font>
      <b/>
      <sz val="10"/>
      <name val="Arial"/>
      <family val="2"/>
    </font>
    <font>
      <sz val="10"/>
      <name val="Calibri"/>
      <family val="2"/>
    </font>
    <font>
      <vertAlign val="subscript"/>
      <sz val="10"/>
      <name val="Arial"/>
      <family val="2"/>
    </font>
    <font>
      <sz val="10"/>
      <color rgb="FFFF0000"/>
      <name val="Arial"/>
      <family val="2"/>
    </font>
    <font>
      <sz val="8"/>
      <color theme="1"/>
      <name val="Arial Unicode MS"/>
      <family val="2"/>
    </font>
    <font>
      <vertAlign val="subscript"/>
      <sz val="11"/>
      <color theme="1"/>
      <name val="Arial Unicode MS"/>
      <family val="2"/>
    </font>
    <font>
      <sz val="14"/>
      <color theme="1"/>
      <name val="Calibri"/>
      <family val="2"/>
      <scheme val="minor"/>
    </font>
    <font>
      <sz val="10"/>
      <color theme="1"/>
      <name val="Arial Unicode MS"/>
      <family val="2"/>
    </font>
    <font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vertAlign val="subscript"/>
      <sz val="10"/>
      <color theme="1"/>
      <name val="Century Gothic"/>
      <family val="2"/>
    </font>
    <font>
      <u/>
      <sz val="10"/>
      <color theme="1"/>
      <name val="Century Gothic"/>
      <family val="2"/>
    </font>
    <font>
      <sz val="11"/>
      <color theme="1"/>
      <name val="Century Gothic"/>
      <family val="2"/>
    </font>
    <font>
      <vertAlign val="subscript"/>
      <sz val="11"/>
      <color theme="1"/>
      <name val="Century Gothic"/>
      <family val="2"/>
    </font>
    <font>
      <b/>
      <sz val="9"/>
      <color indexed="81"/>
      <name val="Tahoma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4" borderId="0" applyNumberFormat="0" applyBorder="0" applyAlignment="0" applyProtection="0"/>
  </cellStyleXfs>
  <cellXfs count="1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4" fillId="0" borderId="0" xfId="0" applyFont="1"/>
    <xf numFmtId="0" fontId="1" fillId="0" borderId="0" xfId="0" quotePrefix="1" applyFont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right" wrapText="1"/>
    </xf>
    <xf numFmtId="166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right" wrapText="1"/>
    </xf>
    <xf numFmtId="1" fontId="2" fillId="0" borderId="8" xfId="0" applyNumberFormat="1" applyFont="1" applyBorder="1"/>
    <xf numFmtId="0" fontId="2" fillId="0" borderId="9" xfId="0" applyFont="1" applyBorder="1"/>
    <xf numFmtId="0" fontId="15" fillId="3" borderId="10" xfId="0" applyFont="1" applyFill="1" applyBorder="1" applyAlignment="1">
      <alignment wrapText="1"/>
    </xf>
    <xf numFmtId="0" fontId="17" fillId="3" borderId="11" xfId="0" applyFont="1" applyFill="1" applyBorder="1" applyAlignment="1">
      <alignment horizontal="right"/>
    </xf>
    <xf numFmtId="1" fontId="2" fillId="3" borderId="11" xfId="0" applyNumberFormat="1" applyFont="1" applyFill="1" applyBorder="1"/>
    <xf numFmtId="0" fontId="17" fillId="3" borderId="12" xfId="0" applyFont="1" applyFill="1" applyBorder="1"/>
    <xf numFmtId="0" fontId="1" fillId="3" borderId="11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18" fillId="0" borderId="0" xfId="0" applyFont="1" applyAlignment="1">
      <alignment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textRotation="90"/>
    </xf>
    <xf numFmtId="0" fontId="22" fillId="0" borderId="0" xfId="0" applyFont="1"/>
    <xf numFmtId="0" fontId="22" fillId="0" borderId="0" xfId="0" applyFont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49" fontId="23" fillId="0" borderId="0" xfId="0" applyNumberFormat="1" applyFont="1"/>
    <xf numFmtId="0" fontId="23" fillId="5" borderId="0" xfId="0" applyFont="1" applyFill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0" fillId="0" borderId="0" xfId="0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>
      <alignment horizontal="center"/>
    </xf>
    <xf numFmtId="0" fontId="0" fillId="6" borderId="1" xfId="0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7" borderId="1" xfId="0" applyFill="1" applyBorder="1"/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0" xfId="0" applyFill="1"/>
    <xf numFmtId="0" fontId="0" fillId="7" borderId="22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6" borderId="1" xfId="0" applyFill="1" applyBorder="1" applyAlignment="1" applyProtection="1">
      <alignment horizontal="center"/>
      <protection locked="0"/>
    </xf>
    <xf numFmtId="2" fontId="19" fillId="8" borderId="1" xfId="1" applyNumberFormat="1" applyFill="1" applyBorder="1" applyAlignment="1" applyProtection="1">
      <alignment horizontal="center" vertical="center"/>
      <protection locked="0"/>
    </xf>
    <xf numFmtId="0" fontId="19" fillId="8" borderId="1" xfId="1" applyFill="1" applyBorder="1" applyAlignment="1" applyProtection="1">
      <alignment horizontal="center" vertical="center"/>
      <protection locked="0"/>
    </xf>
    <xf numFmtId="164" fontId="19" fillId="8" borderId="1" xfId="1" applyNumberFormat="1" applyFill="1" applyBorder="1" applyAlignment="1" applyProtection="1">
      <alignment horizontal="center" vertical="center"/>
      <protection locked="0"/>
    </xf>
    <xf numFmtId="165" fontId="19" fillId="8" borderId="1" xfId="1" applyNumberFormat="1" applyFill="1" applyBorder="1" applyAlignment="1" applyProtection="1">
      <alignment horizontal="center" vertical="center"/>
      <protection locked="0"/>
    </xf>
    <xf numFmtId="49" fontId="7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10" borderId="1" xfId="0" quotePrefix="1" applyNumberFormat="1" applyFont="1" applyFill="1" applyBorder="1" applyAlignment="1" applyProtection="1">
      <alignment horizontal="center" vertical="center" wrapText="1"/>
      <protection locked="0"/>
    </xf>
    <xf numFmtId="1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2" fontId="19" fillId="11" borderId="1" xfId="1" applyNumberForma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2" fontId="7" fillId="1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10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7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2" fontId="19" fillId="12" borderId="1" xfId="1" applyNumberFormat="1" applyFill="1" applyBorder="1" applyAlignment="1" applyProtection="1">
      <alignment horizontal="center" vertical="center"/>
      <protection locked="0"/>
    </xf>
    <xf numFmtId="0" fontId="19" fillId="12" borderId="1" xfId="1" applyFill="1" applyBorder="1" applyAlignment="1" applyProtection="1">
      <alignment horizontal="center" vertical="center"/>
      <protection locked="0"/>
    </xf>
    <xf numFmtId="164" fontId="19" fillId="12" borderId="1" xfId="1" applyNumberFormat="1" applyFill="1" applyBorder="1" applyAlignment="1" applyProtection="1">
      <alignment horizontal="center" vertical="center"/>
      <protection locked="0"/>
    </xf>
    <xf numFmtId="165" fontId="19" fillId="12" borderId="1" xfId="1" applyNumberFormat="1" applyFill="1" applyBorder="1" applyAlignment="1" applyProtection="1">
      <alignment horizontal="center" vertical="center"/>
      <protection locked="0"/>
    </xf>
    <xf numFmtId="2" fontId="7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19" fillId="8" borderId="10" xfId="1" applyFill="1" applyBorder="1" applyAlignment="1" applyProtection="1">
      <alignment horizontal="center"/>
      <protection locked="0"/>
    </xf>
    <xf numFmtId="0" fontId="19" fillId="8" borderId="11" xfId="1" applyFill="1" applyBorder="1" applyAlignment="1" applyProtection="1">
      <alignment horizontal="center"/>
      <protection locked="0"/>
    </xf>
    <xf numFmtId="0" fontId="19" fillId="8" borderId="12" xfId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6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3" borderId="0" xfId="0" applyFill="1" applyAlignment="1" applyProtection="1">
      <alignment horizontal="right"/>
      <protection locked="0"/>
    </xf>
    <xf numFmtId="0" fontId="7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right"/>
      <protection locked="0"/>
    </xf>
    <xf numFmtId="0" fontId="0" fillId="3" borderId="0" xfId="0" applyFill="1"/>
    <xf numFmtId="0" fontId="31" fillId="11" borderId="1" xfId="0" applyFont="1" applyFill="1" applyBorder="1" applyAlignment="1" applyProtection="1">
      <alignment horizontal="center" vertical="center"/>
      <protection locked="0"/>
    </xf>
    <xf numFmtId="2" fontId="19" fillId="8" borderId="1" xfId="1" applyNumberFormat="1" applyFont="1" applyFill="1" applyBorder="1" applyAlignment="1" applyProtection="1">
      <alignment horizontal="center" vertical="center"/>
      <protection locked="0"/>
    </xf>
    <xf numFmtId="0" fontId="31" fillId="11" borderId="1" xfId="0" quotePrefix="1" applyFont="1" applyFill="1" applyBorder="1" applyAlignment="1" applyProtection="1">
      <alignment horizontal="center" vertical="center"/>
      <protection locked="0"/>
    </xf>
    <xf numFmtId="0" fontId="31" fillId="12" borderId="1" xfId="0" applyFont="1" applyFill="1" applyBorder="1" applyAlignment="1" applyProtection="1">
      <alignment horizontal="center" vertical="center"/>
      <protection locked="0"/>
    </xf>
    <xf numFmtId="2" fontId="19" fillId="12" borderId="1" xfId="1" applyNumberFormat="1" applyFont="1" applyFill="1" applyBorder="1" applyAlignment="1" applyProtection="1">
      <alignment horizontal="center" vertical="center"/>
      <protection locked="0"/>
    </xf>
    <xf numFmtId="0" fontId="31" fillId="12" borderId="1" xfId="0" quotePrefix="1" applyFont="1" applyFill="1" applyBorder="1" applyAlignment="1" applyProtection="1">
      <alignment horizontal="center" vertical="center"/>
      <protection locked="0"/>
    </xf>
  </cellXfs>
  <cellStyles count="2">
    <cellStyle name="60 % - Farve2" xfId="1" builtinId="3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</xdr:row>
          <xdr:rowOff>38100</xdr:rowOff>
        </xdr:from>
        <xdr:to>
          <xdr:col>12</xdr:col>
          <xdr:colOff>304800</xdr:colOff>
          <xdr:row>6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19</xdr:row>
          <xdr:rowOff>38100</xdr:rowOff>
        </xdr:from>
        <xdr:to>
          <xdr:col>12</xdr:col>
          <xdr:colOff>304800</xdr:colOff>
          <xdr:row>23</xdr:row>
          <xdr:rowOff>137160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opLeftCell="A3" zoomScaleNormal="100" workbookViewId="0">
      <selection activeCell="I18" sqref="I18"/>
    </sheetView>
  </sheetViews>
  <sheetFormatPr defaultRowHeight="14.4" x14ac:dyDescent="0.3"/>
  <cols>
    <col min="1" max="1" width="27.44140625" customWidth="1"/>
    <col min="7" max="7" width="8.44140625" customWidth="1"/>
    <col min="15" max="15" width="9.5546875" bestFit="1" customWidth="1"/>
  </cols>
  <sheetData>
    <row r="1" spans="1:18" ht="21" x14ac:dyDescent="0.4">
      <c r="A1" s="102" t="s">
        <v>0</v>
      </c>
      <c r="B1" s="102"/>
      <c r="C1" s="102"/>
    </row>
    <row r="2" spans="1:18" ht="21" x14ac:dyDescent="0.4">
      <c r="B2" s="6"/>
      <c r="O2" s="62" t="s">
        <v>1</v>
      </c>
      <c r="P2" s="63" t="s">
        <v>2</v>
      </c>
      <c r="Q2" s="55" t="s">
        <v>3</v>
      </c>
      <c r="R2" s="56" t="s">
        <v>4</v>
      </c>
    </row>
    <row r="3" spans="1:18" ht="21" x14ac:dyDescent="0.4">
      <c r="A3" s="103" t="s">
        <v>5</v>
      </c>
      <c r="B3" s="103"/>
      <c r="C3" s="2">
        <v>0.4</v>
      </c>
      <c r="D3" s="2" t="s">
        <v>6</v>
      </c>
      <c r="O3" s="63" t="s">
        <v>7</v>
      </c>
      <c r="P3" s="64" t="s">
        <v>8</v>
      </c>
      <c r="Q3" s="65" t="s">
        <v>9</v>
      </c>
      <c r="R3" s="58">
        <v>16</v>
      </c>
    </row>
    <row r="4" spans="1:18" ht="15.6" x14ac:dyDescent="0.35">
      <c r="C4" s="2"/>
      <c r="D4" s="2"/>
      <c r="O4" s="66" t="s">
        <v>10</v>
      </c>
      <c r="P4" s="67" t="s">
        <v>11</v>
      </c>
      <c r="Q4" s="65" t="s">
        <v>12</v>
      </c>
      <c r="R4" s="59">
        <v>21.5</v>
      </c>
    </row>
    <row r="5" spans="1:18" ht="20.399999999999999" x14ac:dyDescent="0.45">
      <c r="A5" s="1" t="s">
        <v>13</v>
      </c>
      <c r="B5" s="3" t="s">
        <v>14</v>
      </c>
      <c r="C5" s="2">
        <v>3.1</v>
      </c>
      <c r="D5" s="2" t="s">
        <v>15</v>
      </c>
      <c r="E5" s="4"/>
      <c r="F5" s="4"/>
      <c r="G5" s="4"/>
      <c r="H5" s="4"/>
      <c r="I5" s="4"/>
      <c r="O5" s="66" t="s">
        <v>16</v>
      </c>
      <c r="P5" s="67" t="s">
        <v>17</v>
      </c>
      <c r="Q5" s="65" t="s">
        <v>18</v>
      </c>
      <c r="R5" s="59">
        <v>28.5</v>
      </c>
    </row>
    <row r="6" spans="1:18" ht="20.399999999999999" x14ac:dyDescent="0.45">
      <c r="A6" s="1" t="s">
        <v>19</v>
      </c>
      <c r="B6" s="3" t="s">
        <v>20</v>
      </c>
      <c r="C6" s="2">
        <v>2.7</v>
      </c>
      <c r="D6" s="2" t="s">
        <v>15</v>
      </c>
      <c r="E6" s="4"/>
      <c r="F6" s="5"/>
      <c r="G6" s="4"/>
      <c r="H6" s="4"/>
      <c r="I6" s="4"/>
      <c r="O6" s="66" t="s">
        <v>21</v>
      </c>
      <c r="P6" s="67" t="s">
        <v>22</v>
      </c>
      <c r="Q6" s="65" t="s">
        <v>23</v>
      </c>
      <c r="R6" s="59">
        <v>37.200000000000003</v>
      </c>
    </row>
    <row r="7" spans="1:18" ht="21" thickBot="1" x14ac:dyDescent="0.5">
      <c r="A7" s="1" t="s">
        <v>24</v>
      </c>
      <c r="B7" s="4" t="s">
        <v>25</v>
      </c>
      <c r="C7" s="2">
        <v>25</v>
      </c>
      <c r="D7" s="2" t="s">
        <v>26</v>
      </c>
      <c r="E7" s="4"/>
      <c r="F7" s="4"/>
      <c r="G7" s="4"/>
      <c r="H7" s="4"/>
      <c r="I7" s="4"/>
      <c r="O7" s="66" t="s">
        <v>27</v>
      </c>
      <c r="P7" s="68" t="s">
        <v>28</v>
      </c>
      <c r="Q7" s="65" t="s">
        <v>29</v>
      </c>
      <c r="R7" s="59">
        <v>43.1</v>
      </c>
    </row>
    <row r="8" spans="1:18" ht="20.399999999999999" x14ac:dyDescent="0.45">
      <c r="A8" s="1" t="s">
        <v>30</v>
      </c>
      <c r="B8" s="3" t="s">
        <v>31</v>
      </c>
      <c r="C8" s="2"/>
      <c r="D8" s="2"/>
      <c r="E8" s="4"/>
      <c r="F8" s="9" t="s">
        <v>32</v>
      </c>
      <c r="G8" s="10">
        <f>POWER((C10*C7*POWER(C9,1.85))/(POWER(C5,2)-POWER(C6,2)),1/4.85)</f>
        <v>11.875804970880866</v>
      </c>
      <c r="H8" s="11" t="s">
        <v>33</v>
      </c>
      <c r="I8" s="4"/>
      <c r="O8" s="66" t="s">
        <v>34</v>
      </c>
      <c r="P8" s="69"/>
      <c r="Q8" s="57" t="s">
        <v>35</v>
      </c>
      <c r="R8" s="59">
        <v>54.5</v>
      </c>
    </row>
    <row r="9" spans="1:18" ht="20.399999999999999" x14ac:dyDescent="0.45">
      <c r="A9" s="1" t="s">
        <v>36</v>
      </c>
      <c r="B9" s="3" t="s">
        <v>37</v>
      </c>
      <c r="C9" s="2">
        <v>32.6</v>
      </c>
      <c r="D9" s="8" t="s">
        <v>38</v>
      </c>
      <c r="E9" s="4"/>
      <c r="F9" s="12"/>
      <c r="G9" s="4"/>
      <c r="H9" s="13"/>
      <c r="I9" s="4"/>
      <c r="O9" s="70" t="s">
        <v>39</v>
      </c>
      <c r="P9" s="69"/>
      <c r="Q9" s="57" t="s">
        <v>40</v>
      </c>
      <c r="R9" s="59">
        <v>70.3</v>
      </c>
    </row>
    <row r="10" spans="1:18" ht="31.2" thickBot="1" x14ac:dyDescent="0.5">
      <c r="A10" s="1" t="s">
        <v>41</v>
      </c>
      <c r="B10" s="3" t="s">
        <v>42</v>
      </c>
      <c r="C10" s="2">
        <v>24</v>
      </c>
      <c r="D10" s="7" t="s">
        <v>43</v>
      </c>
      <c r="E10" s="4"/>
      <c r="F10" s="14" t="s">
        <v>44</v>
      </c>
      <c r="G10" s="15">
        <f>C9/((PI()/4)*POWER((G8/1000),2)*3600)</f>
        <v>81.752135182250314</v>
      </c>
      <c r="H10" s="16" t="s">
        <v>45</v>
      </c>
      <c r="I10" s="4"/>
      <c r="O10" s="69"/>
      <c r="P10" s="69"/>
      <c r="Q10" s="57" t="s">
        <v>46</v>
      </c>
      <c r="R10" s="59">
        <v>82.5</v>
      </c>
    </row>
    <row r="11" spans="1:18" ht="21" thickBot="1" x14ac:dyDescent="0.5">
      <c r="B11" s="4"/>
      <c r="C11" s="2"/>
      <c r="D11" s="2"/>
      <c r="E11" s="4"/>
      <c r="F11" s="4"/>
      <c r="G11" s="4"/>
      <c r="H11" s="4"/>
      <c r="I11" s="4"/>
      <c r="O11" s="69"/>
      <c r="P11" s="69"/>
      <c r="Q11" s="57" t="s">
        <v>47</v>
      </c>
      <c r="R11" s="59">
        <v>107.1</v>
      </c>
    </row>
    <row r="12" spans="1:18" ht="21" thickBot="1" x14ac:dyDescent="0.5">
      <c r="A12" s="1" t="s">
        <v>48</v>
      </c>
      <c r="B12" s="17" t="s">
        <v>23</v>
      </c>
      <c r="C12" s="21" t="s">
        <v>49</v>
      </c>
      <c r="D12" s="22">
        <v>37.200000000000003</v>
      </c>
      <c r="E12" s="23" t="s">
        <v>33</v>
      </c>
      <c r="F12" s="18" t="s">
        <v>44</v>
      </c>
      <c r="G12" s="19">
        <f>C9/((PI()/4)*POWER((D12/1000),2)*3600)</f>
        <v>8.3318096260257875</v>
      </c>
      <c r="H12" s="20" t="s">
        <v>45</v>
      </c>
      <c r="O12" s="69"/>
      <c r="P12" s="69"/>
      <c r="Q12" s="57" t="s">
        <v>50</v>
      </c>
      <c r="R12" s="59">
        <v>131.69999999999999</v>
      </c>
    </row>
    <row r="13" spans="1:18" ht="15.6" x14ac:dyDescent="0.35">
      <c r="A13" s="1"/>
      <c r="B13" s="24" t="s">
        <v>51</v>
      </c>
      <c r="C13" s="2"/>
      <c r="D13" s="2"/>
      <c r="O13" s="69"/>
      <c r="P13" s="69"/>
      <c r="Q13" s="57" t="s">
        <v>52</v>
      </c>
      <c r="R13" s="59">
        <v>150</v>
      </c>
    </row>
    <row r="14" spans="1:18" ht="15.6" x14ac:dyDescent="0.35">
      <c r="A14" s="1"/>
      <c r="C14" s="2"/>
      <c r="D14" s="2"/>
      <c r="O14" s="71"/>
      <c r="P14" s="71"/>
      <c r="Q14" s="60" t="s">
        <v>53</v>
      </c>
      <c r="R14" s="61">
        <v>206.5</v>
      </c>
    </row>
    <row r="15" spans="1:18" ht="15.6" x14ac:dyDescent="0.35">
      <c r="A15" s="1"/>
      <c r="C15" s="2"/>
      <c r="D15" s="2"/>
    </row>
    <row r="18" spans="1:18" ht="21" x14ac:dyDescent="0.4">
      <c r="A18" s="102" t="s">
        <v>0</v>
      </c>
      <c r="B18" s="102"/>
      <c r="C18" s="102"/>
    </row>
    <row r="19" spans="1:18" ht="21" x14ac:dyDescent="0.4">
      <c r="B19" s="6"/>
      <c r="O19" s="62" t="s">
        <v>1</v>
      </c>
      <c r="P19" s="63" t="s">
        <v>2</v>
      </c>
      <c r="Q19" s="55" t="s">
        <v>3</v>
      </c>
      <c r="R19" s="56" t="s">
        <v>4</v>
      </c>
    </row>
    <row r="20" spans="1:18" ht="21" x14ac:dyDescent="0.4">
      <c r="A20" s="103" t="s">
        <v>5</v>
      </c>
      <c r="B20" s="103"/>
      <c r="C20" s="2">
        <v>0.4</v>
      </c>
      <c r="D20" s="2" t="s">
        <v>6</v>
      </c>
      <c r="O20" s="63" t="s">
        <v>7</v>
      </c>
      <c r="P20" s="64" t="s">
        <v>8</v>
      </c>
      <c r="Q20" s="65" t="s">
        <v>9</v>
      </c>
      <c r="R20" s="58">
        <v>16</v>
      </c>
    </row>
    <row r="21" spans="1:18" ht="15.6" x14ac:dyDescent="0.35">
      <c r="C21" s="2"/>
      <c r="D21" s="2"/>
      <c r="O21" s="66" t="s">
        <v>10</v>
      </c>
      <c r="P21" s="67" t="s">
        <v>11</v>
      </c>
      <c r="Q21" s="65" t="s">
        <v>12</v>
      </c>
      <c r="R21" s="59">
        <v>21.5</v>
      </c>
    </row>
    <row r="22" spans="1:18" ht="20.399999999999999" x14ac:dyDescent="0.45">
      <c r="A22" s="1" t="s">
        <v>13</v>
      </c>
      <c r="B22" s="3" t="s">
        <v>14</v>
      </c>
      <c r="C22" s="2">
        <v>3.1</v>
      </c>
      <c r="D22" s="2" t="s">
        <v>15</v>
      </c>
      <c r="E22" s="4"/>
      <c r="F22" s="4"/>
      <c r="G22" s="4"/>
      <c r="H22" s="4"/>
      <c r="I22" s="4"/>
      <c r="O22" s="66" t="s">
        <v>16</v>
      </c>
      <c r="P22" s="67" t="s">
        <v>17</v>
      </c>
      <c r="Q22" s="65" t="s">
        <v>18</v>
      </c>
      <c r="R22" s="59">
        <v>28.5</v>
      </c>
    </row>
    <row r="23" spans="1:18" ht="20.399999999999999" x14ac:dyDescent="0.45">
      <c r="A23" s="1" t="s">
        <v>19</v>
      </c>
      <c r="B23" s="3" t="s">
        <v>20</v>
      </c>
      <c r="C23" s="2">
        <v>2.7</v>
      </c>
      <c r="D23" s="2" t="s">
        <v>15</v>
      </c>
      <c r="E23" s="4"/>
      <c r="F23" s="5"/>
      <c r="G23" s="4"/>
      <c r="H23" s="4"/>
      <c r="I23" s="4"/>
      <c r="O23" s="66" t="s">
        <v>21</v>
      </c>
      <c r="P23" s="67" t="s">
        <v>22</v>
      </c>
      <c r="Q23" s="65" t="s">
        <v>23</v>
      </c>
      <c r="R23" s="59">
        <v>37.200000000000003</v>
      </c>
    </row>
    <row r="24" spans="1:18" ht="21" thickBot="1" x14ac:dyDescent="0.5">
      <c r="A24" s="1" t="s">
        <v>24</v>
      </c>
      <c r="B24" s="4" t="s">
        <v>25</v>
      </c>
      <c r="C24" s="2">
        <v>25</v>
      </c>
      <c r="D24" s="2" t="s">
        <v>26</v>
      </c>
      <c r="E24" s="4"/>
      <c r="F24" s="4"/>
      <c r="G24" s="4"/>
      <c r="H24" s="4"/>
      <c r="I24" s="4"/>
      <c r="O24" s="66" t="s">
        <v>27</v>
      </c>
      <c r="P24" s="68" t="s">
        <v>28</v>
      </c>
      <c r="Q24" s="65" t="s">
        <v>29</v>
      </c>
      <c r="R24" s="59">
        <v>43.1</v>
      </c>
    </row>
    <row r="25" spans="1:18" ht="20.399999999999999" x14ac:dyDescent="0.45">
      <c r="A25" s="1" t="s">
        <v>30</v>
      </c>
      <c r="B25" s="3" t="s">
        <v>31</v>
      </c>
      <c r="C25" s="2"/>
      <c r="D25" s="2"/>
      <c r="E25" s="4"/>
      <c r="F25" s="9" t="s">
        <v>32</v>
      </c>
      <c r="G25" s="10">
        <f>POWER((C27*C24*POWER(C26,1.85))/(POWER(C22,2)-POWER(C23,2)),1/4.85)</f>
        <v>11.87858355185781</v>
      </c>
      <c r="H25" s="11" t="s">
        <v>33</v>
      </c>
      <c r="I25" s="4"/>
      <c r="O25" s="66" t="s">
        <v>34</v>
      </c>
      <c r="P25" s="69"/>
      <c r="Q25" s="57" t="s">
        <v>35</v>
      </c>
      <c r="R25" s="59">
        <v>54.5</v>
      </c>
    </row>
    <row r="26" spans="1:18" ht="20.399999999999999" x14ac:dyDescent="0.45">
      <c r="A26" s="1" t="s">
        <v>36</v>
      </c>
      <c r="B26" s="3" t="s">
        <v>37</v>
      </c>
      <c r="C26" s="2">
        <v>32.619999999999997</v>
      </c>
      <c r="D26" s="8" t="s">
        <v>38</v>
      </c>
      <c r="E26" s="4"/>
      <c r="F26" s="12"/>
      <c r="G26" s="4"/>
      <c r="H26" s="13"/>
      <c r="I26" s="4"/>
      <c r="O26" s="70" t="s">
        <v>39</v>
      </c>
      <c r="P26" s="69"/>
      <c r="Q26" s="57" t="s">
        <v>40</v>
      </c>
      <c r="R26" s="59">
        <v>70.3</v>
      </c>
    </row>
    <row r="27" spans="1:18" ht="31.2" thickBot="1" x14ac:dyDescent="0.5">
      <c r="A27" s="1" t="s">
        <v>41</v>
      </c>
      <c r="B27" s="3" t="s">
        <v>42</v>
      </c>
      <c r="C27" s="2">
        <v>24</v>
      </c>
      <c r="D27" s="7" t="s">
        <v>43</v>
      </c>
      <c r="E27" s="4"/>
      <c r="F27" s="14" t="s">
        <v>44</v>
      </c>
      <c r="G27" s="15">
        <f>C26/((PI()/4)*POWER((G25/1000),2)*3600)</f>
        <v>81.764024748064472</v>
      </c>
      <c r="H27" s="16" t="s">
        <v>45</v>
      </c>
      <c r="I27" s="4"/>
      <c r="O27" s="69"/>
      <c r="P27" s="69"/>
      <c r="Q27" s="57" t="s">
        <v>46</v>
      </c>
      <c r="R27" s="59">
        <v>82.5</v>
      </c>
    </row>
    <row r="28" spans="1:18" ht="21" thickBot="1" x14ac:dyDescent="0.5">
      <c r="B28" s="4"/>
      <c r="C28" s="2"/>
      <c r="D28" s="2"/>
      <c r="E28" s="4"/>
      <c r="F28" s="4"/>
      <c r="G28" s="4"/>
      <c r="H28" s="4"/>
      <c r="I28" s="4"/>
      <c r="O28" s="69"/>
      <c r="P28" s="69"/>
      <c r="Q28" s="57" t="s">
        <v>47</v>
      </c>
      <c r="R28" s="59">
        <v>107.1</v>
      </c>
    </row>
    <row r="29" spans="1:18" ht="21" thickBot="1" x14ac:dyDescent="0.5">
      <c r="A29" s="1" t="s">
        <v>48</v>
      </c>
      <c r="B29" s="17" t="s">
        <v>18</v>
      </c>
      <c r="C29" s="21" t="s">
        <v>49</v>
      </c>
      <c r="D29" s="22">
        <v>28.5</v>
      </c>
      <c r="E29" s="23" t="s">
        <v>33</v>
      </c>
      <c r="F29" s="18" t="s">
        <v>44</v>
      </c>
      <c r="G29" s="19">
        <f>C26/((PI()/4)*POWER((D29/1000),2)*3600)</f>
        <v>14.203711894005336</v>
      </c>
      <c r="H29" s="20" t="s">
        <v>45</v>
      </c>
      <c r="O29" s="69"/>
      <c r="P29" s="69"/>
      <c r="Q29" s="57" t="s">
        <v>50</v>
      </c>
      <c r="R29" s="59">
        <v>131.69999999999999</v>
      </c>
    </row>
    <row r="30" spans="1:18" ht="15.6" x14ac:dyDescent="0.35">
      <c r="A30" s="1"/>
      <c r="B30" s="24" t="s">
        <v>51</v>
      </c>
      <c r="C30" s="2"/>
      <c r="D30" s="2"/>
      <c r="O30" s="69"/>
      <c r="P30" s="69"/>
      <c r="Q30" s="57" t="s">
        <v>52</v>
      </c>
      <c r="R30" s="59">
        <v>150</v>
      </c>
    </row>
    <row r="31" spans="1:18" ht="15.6" x14ac:dyDescent="0.35">
      <c r="A31" s="1"/>
      <c r="C31" s="2"/>
      <c r="D31" s="2"/>
      <c r="O31" s="71"/>
      <c r="P31" s="71"/>
      <c r="Q31" s="60" t="s">
        <v>53</v>
      </c>
      <c r="R31" s="61">
        <v>206.5</v>
      </c>
    </row>
  </sheetData>
  <mergeCells count="4">
    <mergeCell ref="A1:C1"/>
    <mergeCell ref="A3:B3"/>
    <mergeCell ref="A18:C18"/>
    <mergeCell ref="A20:B2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5</xdr:col>
                <xdr:colOff>7620</xdr:colOff>
                <xdr:row>2</xdr:row>
                <xdr:rowOff>38100</xdr:rowOff>
              </from>
              <to>
                <xdr:col>12</xdr:col>
                <xdr:colOff>304800</xdr:colOff>
                <xdr:row>6</xdr:row>
                <xdr:rowOff>121920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7" r:id="rId6">
          <objectPr defaultSize="0" autoPict="0" r:id="rId5">
            <anchor moveWithCells="1">
              <from>
                <xdr:col>5</xdr:col>
                <xdr:colOff>7620</xdr:colOff>
                <xdr:row>19</xdr:row>
                <xdr:rowOff>38100</xdr:rowOff>
              </from>
              <to>
                <xdr:col>12</xdr:col>
                <xdr:colOff>304800</xdr:colOff>
                <xdr:row>23</xdr:row>
                <xdr:rowOff>137160</xdr:rowOff>
              </to>
            </anchor>
          </objectPr>
        </oleObject>
      </mc:Choice>
      <mc:Fallback>
        <oleObject progId="Equation.3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6"/>
  <sheetViews>
    <sheetView tabSelected="1" zoomScale="70" zoomScaleNormal="70" workbookViewId="0">
      <selection activeCell="I28" sqref="I28"/>
    </sheetView>
  </sheetViews>
  <sheetFormatPr defaultColWidth="8.88671875" defaultRowHeight="14.4" x14ac:dyDescent="0.3"/>
  <cols>
    <col min="1" max="1" width="19.6640625" style="29" customWidth="1"/>
    <col min="2" max="2" width="25.33203125" style="29" customWidth="1"/>
    <col min="3" max="3" width="8.88671875" style="29"/>
    <col min="4" max="4" width="10.44140625" style="29" customWidth="1"/>
    <col min="5" max="5" width="11.44140625" style="29" customWidth="1"/>
    <col min="6" max="6" width="8.88671875" style="29" customWidth="1"/>
    <col min="7" max="7" width="8.88671875" style="29"/>
    <col min="8" max="8" width="11.44140625" style="29" customWidth="1"/>
    <col min="9" max="9" width="10.44140625" style="29" customWidth="1"/>
    <col min="10" max="10" width="8.88671875" style="29" customWidth="1"/>
    <col min="11" max="11" width="9" style="29" customWidth="1"/>
    <col min="12" max="15" width="12" style="29" customWidth="1"/>
    <col min="16" max="16" width="17.109375" style="29" customWidth="1"/>
    <col min="17" max="19" width="8.88671875" style="29" customWidth="1"/>
    <col min="20" max="20" width="12.109375" style="29" customWidth="1"/>
    <col min="21" max="21" width="12" style="29" customWidth="1"/>
    <col min="22" max="22" width="12" style="29" bestFit="1" customWidth="1"/>
    <col min="23" max="23" width="21" style="29" customWidth="1"/>
    <col min="24" max="16384" width="8.88671875" style="29"/>
  </cols>
  <sheetData>
    <row r="1" spans="1:24" ht="21.6" thickBot="1" x14ac:dyDescent="0.45">
      <c r="A1" s="95" t="s">
        <v>54</v>
      </c>
      <c r="B1" s="95"/>
      <c r="C1" s="95"/>
      <c r="D1" s="95"/>
      <c r="E1" s="95"/>
      <c r="F1" s="95"/>
      <c r="G1" s="95"/>
      <c r="H1" s="95"/>
    </row>
    <row r="2" spans="1:24" ht="15" thickBot="1" x14ac:dyDescent="0.35">
      <c r="K2" s="96" t="s">
        <v>56</v>
      </c>
      <c r="L2" s="97"/>
      <c r="M2" s="98"/>
    </row>
    <row r="3" spans="1:24" x14ac:dyDescent="0.3">
      <c r="D3" s="101" t="s">
        <v>57</v>
      </c>
      <c r="E3" s="101"/>
      <c r="F3" s="79">
        <v>2.0099999999999998</v>
      </c>
      <c r="G3" s="80"/>
      <c r="H3" s="80" t="s">
        <v>55</v>
      </c>
    </row>
    <row r="4" spans="1:24" ht="26.4" x14ac:dyDescent="0.35">
      <c r="L4" s="100" t="s">
        <v>58</v>
      </c>
      <c r="M4" s="99" t="s">
        <v>124</v>
      </c>
      <c r="N4" s="46" t="s">
        <v>60</v>
      </c>
      <c r="O4" s="46" t="s">
        <v>61</v>
      </c>
      <c r="P4" s="46" t="s">
        <v>62</v>
      </c>
      <c r="Q4" s="51" t="s">
        <v>63</v>
      </c>
    </row>
    <row r="5" spans="1:24" ht="16.649999999999999" customHeight="1" x14ac:dyDescent="0.35">
      <c r="B5" s="30"/>
      <c r="C5" s="106" t="s">
        <v>64</v>
      </c>
      <c r="D5" s="80">
        <f>O6</f>
        <v>0.82599999999999996</v>
      </c>
      <c r="E5" s="80"/>
      <c r="F5" s="107" t="s">
        <v>65</v>
      </c>
      <c r="G5" s="80" t="s">
        <v>66</v>
      </c>
      <c r="H5" s="80"/>
      <c r="I5" s="80"/>
      <c r="L5" s="100"/>
      <c r="M5" s="99"/>
      <c r="N5" s="46" t="s">
        <v>67</v>
      </c>
      <c r="O5" s="46" t="s">
        <v>68</v>
      </c>
      <c r="P5" s="46" t="s">
        <v>69</v>
      </c>
      <c r="Q5" s="52" t="s">
        <v>70</v>
      </c>
    </row>
    <row r="6" spans="1:24" ht="16.350000000000001" customHeight="1" x14ac:dyDescent="0.3">
      <c r="B6" s="32"/>
      <c r="C6" s="108" t="s">
        <v>71</v>
      </c>
      <c r="D6" s="109">
        <f>P6</f>
        <v>1.064E-5</v>
      </c>
      <c r="E6" s="109"/>
      <c r="F6" s="107" t="s">
        <v>72</v>
      </c>
      <c r="G6" s="80" t="s">
        <v>73</v>
      </c>
      <c r="H6" s="80"/>
      <c r="I6" s="80"/>
      <c r="L6" s="100"/>
      <c r="M6" s="99"/>
      <c r="N6" s="46">
        <f>VLOOKUP($M4,Henvisning!$O$25:$S$32,2,FALSE)</f>
        <v>11</v>
      </c>
      <c r="O6" s="46">
        <f>VLOOKUP(M4,Henvisning!$O$21:$S$31,3,FALSE)</f>
        <v>0.82599999999999996</v>
      </c>
      <c r="P6" s="46">
        <f>VLOOKUP(M4,Henvisning!$O$25:$S$31,4,FALSE)</f>
        <v>1.064E-5</v>
      </c>
      <c r="Q6" s="46">
        <f>VLOOKUP(M4,Henvisning!$O$25:$S$31,5,FALSE)</f>
        <v>-4.5999999999999999E-2</v>
      </c>
      <c r="R6" s="50"/>
    </row>
    <row r="8" spans="1:24" x14ac:dyDescent="0.3">
      <c r="A8" s="33" t="s">
        <v>74</v>
      </c>
      <c r="B8" s="33"/>
      <c r="C8" s="33"/>
      <c r="K8" s="31"/>
    </row>
    <row r="9" spans="1:24" ht="55.8" customHeight="1" x14ac:dyDescent="0.3">
      <c r="A9" s="25" t="s">
        <v>75</v>
      </c>
      <c r="B9" s="25" t="s">
        <v>188</v>
      </c>
      <c r="C9" s="25" t="s">
        <v>76</v>
      </c>
      <c r="D9" s="25" t="s">
        <v>77</v>
      </c>
      <c r="E9" s="25" t="s">
        <v>78</v>
      </c>
      <c r="F9" s="25" t="s">
        <v>79</v>
      </c>
      <c r="G9" s="25" t="s">
        <v>80</v>
      </c>
      <c r="H9" s="25" t="s">
        <v>81</v>
      </c>
      <c r="I9" s="25" t="s">
        <v>82</v>
      </c>
      <c r="J9" s="25" t="s">
        <v>83</v>
      </c>
      <c r="K9" s="25" t="s">
        <v>84</v>
      </c>
      <c r="L9" s="25" t="s">
        <v>85</v>
      </c>
      <c r="M9" s="25" t="s">
        <v>86</v>
      </c>
      <c r="N9" s="25" t="s">
        <v>87</v>
      </c>
      <c r="O9" s="25" t="s">
        <v>88</v>
      </c>
      <c r="P9" s="25" t="s">
        <v>89</v>
      </c>
      <c r="Q9" s="25" t="s">
        <v>90</v>
      </c>
      <c r="R9" s="25" t="s">
        <v>91</v>
      </c>
      <c r="S9" s="25" t="s">
        <v>92</v>
      </c>
      <c r="T9" s="25" t="s">
        <v>93</v>
      </c>
      <c r="U9" s="25" t="s">
        <v>94</v>
      </c>
      <c r="V9" s="25" t="s">
        <v>95</v>
      </c>
      <c r="W9" s="25" t="s">
        <v>75</v>
      </c>
      <c r="X9" s="34"/>
    </row>
    <row r="10" spans="1:24" ht="15.6" x14ac:dyDescent="0.3">
      <c r="A10" s="26"/>
      <c r="B10" s="26"/>
      <c r="C10" s="26" t="s">
        <v>96</v>
      </c>
      <c r="D10" s="26" t="s">
        <v>97</v>
      </c>
      <c r="E10" s="26" t="s">
        <v>97</v>
      </c>
      <c r="F10" s="26" t="s">
        <v>98</v>
      </c>
      <c r="G10" s="26" t="s">
        <v>99</v>
      </c>
      <c r="H10" s="26" t="s">
        <v>100</v>
      </c>
      <c r="I10" s="26" t="s">
        <v>101</v>
      </c>
      <c r="J10" s="26" t="s">
        <v>102</v>
      </c>
      <c r="K10" s="26" t="s">
        <v>102</v>
      </c>
      <c r="L10" s="26" t="s">
        <v>103</v>
      </c>
      <c r="M10" s="26"/>
      <c r="N10" s="26"/>
      <c r="O10" s="26" t="s">
        <v>70</v>
      </c>
      <c r="P10" s="26" t="s">
        <v>104</v>
      </c>
      <c r="Q10" s="26" t="s">
        <v>105</v>
      </c>
      <c r="R10" s="26" t="s">
        <v>105</v>
      </c>
      <c r="S10" s="26" t="s">
        <v>102</v>
      </c>
      <c r="T10" s="26" t="s">
        <v>104</v>
      </c>
      <c r="U10" s="26" t="s">
        <v>104</v>
      </c>
      <c r="V10" s="26" t="s">
        <v>104</v>
      </c>
      <c r="W10" s="26"/>
    </row>
    <row r="11" spans="1:24" ht="13.95" customHeight="1" x14ac:dyDescent="0.3">
      <c r="A11" s="77" t="s">
        <v>189</v>
      </c>
      <c r="B11" s="27" t="s">
        <v>131</v>
      </c>
      <c r="C11" s="27" t="s">
        <v>144</v>
      </c>
      <c r="D11" s="28"/>
      <c r="E11" s="110">
        <v>0</v>
      </c>
      <c r="F11" s="111">
        <f>(D11-E11)/$N$6*G11+(E11/$N$6)+IF(G11=0,D11/11)</f>
        <v>0</v>
      </c>
      <c r="G11" s="112">
        <f>IF(B11="",0,VLOOKUP(C11,Henvisning!$O$9:$Q$14,MATCH(B11,Henvisning!$P$7:$Q$7,0)+1,FALSE))</f>
        <v>0.3</v>
      </c>
      <c r="H11" s="28"/>
      <c r="I11" s="28"/>
      <c r="J11" s="28"/>
      <c r="K11" s="74">
        <f>H11+J11</f>
        <v>0</v>
      </c>
      <c r="L11" s="73" t="e">
        <f>F11/(PI()*POWER(I11,2)/4)*POWER(10,6)/3600</f>
        <v>#DIV/0!</v>
      </c>
      <c r="M11" s="73" t="e">
        <f>L11*I11*POWER(10,-3)/$D$6</f>
        <v>#DIV/0!</v>
      </c>
      <c r="N11" s="75" t="e">
        <f>0.32*POWER(M11,-0.25)</f>
        <v>#DIV/0!</v>
      </c>
      <c r="O11" s="76" t="e">
        <f>6.25*100000*N11*POWER(F11,2)*$D$5/POWER(I11,5)</f>
        <v>#DIV/0!</v>
      </c>
      <c r="P11" s="76" t="e">
        <f t="shared" ref="P11:P16" si="0">O11*K11</f>
        <v>#DIV/0!</v>
      </c>
      <c r="Q11" s="28"/>
      <c r="R11" s="28"/>
      <c r="S11" s="74">
        <f>R11-Q11</f>
        <v>0</v>
      </c>
      <c r="T11" s="74">
        <f>$Q$6*S11</f>
        <v>0</v>
      </c>
      <c r="U11" s="73" t="e">
        <f>P11+T11</f>
        <v>#DIV/0!</v>
      </c>
      <c r="V11" s="73" t="e">
        <f>(U11)</f>
        <v>#DIV/0!</v>
      </c>
      <c r="W11" s="83" t="str">
        <f t="shared" ref="W11:W17" si="1">A11</f>
        <v>Reg-A</v>
      </c>
      <c r="X11" s="35"/>
    </row>
    <row r="12" spans="1:24" ht="13.95" customHeight="1" x14ac:dyDescent="0.3">
      <c r="A12" s="77" t="s">
        <v>190</v>
      </c>
      <c r="B12" s="27" t="s">
        <v>131</v>
      </c>
      <c r="C12" s="27" t="s">
        <v>144</v>
      </c>
      <c r="D12" s="28"/>
      <c r="E12" s="110">
        <v>0</v>
      </c>
      <c r="F12" s="111">
        <f>(D12-E12)/$N$6*G12+(E12/$N$6)+IF(G12=0,D12/11)</f>
        <v>0</v>
      </c>
      <c r="G12" s="112">
        <f>IF(B12="",0,VLOOKUP(C12,Henvisning!$O$9:$Q$14,MATCH(B12,Henvisning!$P$7:$Q$7,0)+1,FALSE))</f>
        <v>0.3</v>
      </c>
      <c r="H12" s="28"/>
      <c r="I12" s="28"/>
      <c r="J12" s="28"/>
      <c r="K12" s="74">
        <f>H12+J12</f>
        <v>0</v>
      </c>
      <c r="L12" s="73" t="e">
        <f>F12/(PI()*POWER(I12,2)/4)*POWER(10,6)/3600</f>
        <v>#DIV/0!</v>
      </c>
      <c r="M12" s="73" t="e">
        <f>L12*I12*POWER(10,-3)/$D$6</f>
        <v>#DIV/0!</v>
      </c>
      <c r="N12" s="75" t="e">
        <f>0.32*POWER(M12,-0.25)</f>
        <v>#DIV/0!</v>
      </c>
      <c r="O12" s="76" t="e">
        <f>6.25*100000*N12*POWER(F12,2)*$D$5/POWER(I12,5)</f>
        <v>#DIV/0!</v>
      </c>
      <c r="P12" s="76" t="e">
        <f t="shared" si="0"/>
        <v>#DIV/0!</v>
      </c>
      <c r="Q12" s="28"/>
      <c r="R12" s="28"/>
      <c r="S12" s="74">
        <f>R12-Q12</f>
        <v>0</v>
      </c>
      <c r="T12" s="74">
        <f>$Q$6*S12</f>
        <v>0</v>
      </c>
      <c r="U12" s="73" t="e">
        <f t="shared" ref="U12:U34" si="2">P12+T12</f>
        <v>#DIV/0!</v>
      </c>
      <c r="V12" s="73" t="e">
        <f>(U12)+V11</f>
        <v>#DIV/0!</v>
      </c>
      <c r="W12" s="83" t="str">
        <f t="shared" si="1"/>
        <v>A-B</v>
      </c>
      <c r="X12" s="35"/>
    </row>
    <row r="13" spans="1:24" ht="13.95" customHeight="1" x14ac:dyDescent="0.3">
      <c r="A13" s="77" t="s">
        <v>191</v>
      </c>
      <c r="B13" s="27" t="s">
        <v>131</v>
      </c>
      <c r="C13" s="27" t="s">
        <v>144</v>
      </c>
      <c r="D13" s="28"/>
      <c r="E13" s="110">
        <v>0</v>
      </c>
      <c r="F13" s="111">
        <f>(D13-E13)/$N$6*G13+(E13/$N$6)+IF(G13=0,D13/11)</f>
        <v>0</v>
      </c>
      <c r="G13" s="112">
        <f>IF(B13="",0,VLOOKUP(C13,Henvisning!$O$9:$Q$14,MATCH(B13,Henvisning!$P$7:$Q$7,0)+1,FALSE))</f>
        <v>0.3</v>
      </c>
      <c r="H13" s="28"/>
      <c r="I13" s="28"/>
      <c r="J13" s="28"/>
      <c r="K13" s="74">
        <f>H13+J13</f>
        <v>0</v>
      </c>
      <c r="L13" s="73" t="e">
        <f>F13/(PI()*POWER(I13,2)/4)*POWER(10,6)/3600</f>
        <v>#DIV/0!</v>
      </c>
      <c r="M13" s="73" t="e">
        <f>L13*I13*POWER(10,-3)/$D$6</f>
        <v>#DIV/0!</v>
      </c>
      <c r="N13" s="75" t="e">
        <f>0.32*POWER(M13,-0.25)</f>
        <v>#DIV/0!</v>
      </c>
      <c r="O13" s="76" t="e">
        <f>6.25*100000*N13*POWER(F13,2)*$D$5/POWER(I13,5)</f>
        <v>#DIV/0!</v>
      </c>
      <c r="P13" s="76" t="e">
        <f t="shared" si="0"/>
        <v>#DIV/0!</v>
      </c>
      <c r="Q13" s="28"/>
      <c r="R13" s="28"/>
      <c r="S13" s="74">
        <f>R13-Q13</f>
        <v>0</v>
      </c>
      <c r="T13" s="74">
        <f>$Q$6*S13</f>
        <v>0</v>
      </c>
      <c r="U13" s="73" t="e">
        <f>P13+T13</f>
        <v>#DIV/0!</v>
      </c>
      <c r="V13" s="73" t="e">
        <f>(U13)+V12</f>
        <v>#DIV/0!</v>
      </c>
      <c r="W13" s="83" t="str">
        <f t="shared" si="1"/>
        <v>B-C</v>
      </c>
      <c r="X13" s="35"/>
    </row>
    <row r="14" spans="1:24" x14ac:dyDescent="0.3">
      <c r="A14" s="77" t="s">
        <v>192</v>
      </c>
      <c r="B14" s="27" t="s">
        <v>131</v>
      </c>
      <c r="C14" s="27" t="s">
        <v>144</v>
      </c>
      <c r="D14" s="28"/>
      <c r="E14" s="110">
        <v>0</v>
      </c>
      <c r="F14" s="111">
        <f>(D14-E14)/$N$6*G14+(E14/$N$6)+IF(G14=0,D14/11)</f>
        <v>0</v>
      </c>
      <c r="G14" s="112">
        <f>IF(B14="",0,VLOOKUP(C14,Henvisning!$O$9:$Q$14,MATCH(B14,Henvisning!$P$7:$Q$7,0)+1,FALSE))</f>
        <v>0.3</v>
      </c>
      <c r="H14" s="28"/>
      <c r="I14" s="28"/>
      <c r="J14" s="28"/>
      <c r="K14" s="74">
        <f t="shared" ref="K14:K16" si="3">H14+J14</f>
        <v>0</v>
      </c>
      <c r="L14" s="73" t="e">
        <f t="shared" ref="L14:L16" si="4">F14/(PI()*POWER(I14,2)/4)*POWER(10,6)/3600</f>
        <v>#DIV/0!</v>
      </c>
      <c r="M14" s="73" t="e">
        <f t="shared" ref="M14:M16" si="5">L14*I14*POWER(10,-3)/$D$6</f>
        <v>#DIV/0!</v>
      </c>
      <c r="N14" s="75" t="e">
        <f t="shared" ref="N14:N16" si="6">0.32*POWER(M14,-0.25)</f>
        <v>#DIV/0!</v>
      </c>
      <c r="O14" s="76" t="e">
        <f t="shared" ref="O14:O16" si="7">6.25*100000*N14*POWER(F14,2)*$D$5/POWER(I14,5)</f>
        <v>#DIV/0!</v>
      </c>
      <c r="P14" s="76" t="e">
        <f t="shared" si="0"/>
        <v>#DIV/0!</v>
      </c>
      <c r="Q14" s="28"/>
      <c r="R14" s="28"/>
      <c r="S14" s="74">
        <f t="shared" ref="S14:S16" si="8">R14-Q14</f>
        <v>0</v>
      </c>
      <c r="T14" s="74">
        <f t="shared" ref="T14:T16" si="9">$Q$6*S14</f>
        <v>0</v>
      </c>
      <c r="U14" s="73" t="e">
        <f t="shared" si="2"/>
        <v>#DIV/0!</v>
      </c>
      <c r="V14" s="73" t="e">
        <f>(V13+U14)</f>
        <v>#DIV/0!</v>
      </c>
      <c r="W14" s="83" t="str">
        <f t="shared" si="1"/>
        <v>C-D</v>
      </c>
      <c r="X14" s="35"/>
    </row>
    <row r="15" spans="1:24" x14ac:dyDescent="0.3">
      <c r="A15" s="77" t="s">
        <v>193</v>
      </c>
      <c r="B15" s="27" t="s">
        <v>131</v>
      </c>
      <c r="C15" s="27" t="s">
        <v>144</v>
      </c>
      <c r="D15" s="28"/>
      <c r="E15" s="110">
        <v>0</v>
      </c>
      <c r="F15" s="111">
        <f>(D15-E16)/$N$6*G15+(E16/$N$6)+IF(G15=0,D15/11)</f>
        <v>0</v>
      </c>
      <c r="G15" s="112">
        <f>IF(B15="",0,VLOOKUP(C15,Henvisning!$O$9:$Q$14,MATCH(B15,Henvisning!$P$7:$Q$7,0)+1,FALSE))</f>
        <v>0.3</v>
      </c>
      <c r="H15" s="28"/>
      <c r="I15" s="28"/>
      <c r="J15" s="28"/>
      <c r="K15" s="74">
        <f t="shared" si="3"/>
        <v>0</v>
      </c>
      <c r="L15" s="73" t="e">
        <f t="shared" si="4"/>
        <v>#DIV/0!</v>
      </c>
      <c r="M15" s="81" t="e">
        <f t="shared" si="5"/>
        <v>#DIV/0!</v>
      </c>
      <c r="N15" s="75" t="e">
        <f t="shared" si="6"/>
        <v>#DIV/0!</v>
      </c>
      <c r="O15" s="76" t="e">
        <f t="shared" si="7"/>
        <v>#DIV/0!</v>
      </c>
      <c r="P15" s="76" t="e">
        <f t="shared" si="0"/>
        <v>#DIV/0!</v>
      </c>
      <c r="Q15" s="28"/>
      <c r="R15" s="28"/>
      <c r="S15" s="74">
        <f t="shared" si="8"/>
        <v>0</v>
      </c>
      <c r="T15" s="74">
        <f t="shared" si="9"/>
        <v>0</v>
      </c>
      <c r="U15" s="73" t="e">
        <f t="shared" si="2"/>
        <v>#DIV/0!</v>
      </c>
      <c r="V15" s="81" t="e">
        <f>(V14+U15)</f>
        <v>#DIV/0!</v>
      </c>
      <c r="W15" s="83" t="str">
        <f t="shared" si="1"/>
        <v>D-E</v>
      </c>
      <c r="X15" s="35"/>
    </row>
    <row r="16" spans="1:24" x14ac:dyDescent="0.3">
      <c r="A16" s="77" t="s">
        <v>205</v>
      </c>
      <c r="B16" s="27" t="s">
        <v>131</v>
      </c>
      <c r="C16" s="27" t="s">
        <v>144</v>
      </c>
      <c r="D16" s="28"/>
      <c r="E16" s="110">
        <v>0</v>
      </c>
      <c r="F16" s="111">
        <f>(D16-E17)/$N$6*G16+(E17/$N$6)+IF(G16=0,D16/11)</f>
        <v>0</v>
      </c>
      <c r="G16" s="112">
        <f>IF(B16="",0,VLOOKUP(C16,Henvisning!$O$9:$Q$14,MATCH(B16,Henvisning!$P$7:$Q$7,0)+1,FALSE))</f>
        <v>0.3</v>
      </c>
      <c r="H16" s="28"/>
      <c r="I16" s="28"/>
      <c r="J16" s="28"/>
      <c r="K16" s="74">
        <f t="shared" si="3"/>
        <v>0</v>
      </c>
      <c r="L16" s="73" t="e">
        <f t="shared" si="4"/>
        <v>#DIV/0!</v>
      </c>
      <c r="M16" s="81" t="e">
        <f t="shared" si="5"/>
        <v>#DIV/0!</v>
      </c>
      <c r="N16" s="75" t="e">
        <f t="shared" si="6"/>
        <v>#DIV/0!</v>
      </c>
      <c r="O16" s="76" t="e">
        <f t="shared" si="7"/>
        <v>#DIV/0!</v>
      </c>
      <c r="P16" s="76" t="e">
        <f t="shared" si="0"/>
        <v>#DIV/0!</v>
      </c>
      <c r="Q16" s="28"/>
      <c r="R16" s="28"/>
      <c r="S16" s="74">
        <f t="shared" si="8"/>
        <v>0</v>
      </c>
      <c r="T16" s="74">
        <f t="shared" si="9"/>
        <v>0</v>
      </c>
      <c r="U16" s="73" t="e">
        <f t="shared" si="2"/>
        <v>#DIV/0!</v>
      </c>
      <c r="V16" s="81" t="e">
        <f t="shared" ref="V16:V34" si="10">(V15+U16)</f>
        <v>#DIV/0!</v>
      </c>
      <c r="W16" s="83" t="str">
        <f t="shared" si="1"/>
        <v>E-TØR1</v>
      </c>
      <c r="X16" s="35"/>
    </row>
    <row r="17" spans="1:24" x14ac:dyDescent="0.3">
      <c r="A17" s="77" t="s">
        <v>206</v>
      </c>
      <c r="B17" s="27" t="s">
        <v>131</v>
      </c>
      <c r="C17" s="27" t="s">
        <v>144</v>
      </c>
      <c r="D17" s="28"/>
      <c r="E17" s="110">
        <v>0</v>
      </c>
      <c r="F17" s="111">
        <f t="shared" ref="F17:F34" si="11">(D17-E17)/$N$6*G17+(E17/$N$6)+IF(G17=0,D17/11)</f>
        <v>0</v>
      </c>
      <c r="G17" s="112">
        <f>IF(B17="",0,VLOOKUP(C17,Henvisning!$O$9:$Q$14,MATCH(B17,Henvisning!$P$7:$Q$7,0)+1,FALSE))</f>
        <v>0.3</v>
      </c>
      <c r="H17" s="28"/>
      <c r="I17" s="28"/>
      <c r="J17" s="28"/>
      <c r="K17" s="74">
        <f t="shared" ref="K17:K34" si="12">H17+J17</f>
        <v>0</v>
      </c>
      <c r="L17" s="73" t="e">
        <f t="shared" ref="L17:L34" si="13">F17/(PI()*POWER(I17,2)/4)*POWER(10,6)/3600</f>
        <v>#DIV/0!</v>
      </c>
      <c r="M17" s="81" t="e">
        <f t="shared" ref="M17:M34" si="14">L17*I17*POWER(10,-3)/$D$6</f>
        <v>#DIV/0!</v>
      </c>
      <c r="N17" s="75" t="e">
        <f t="shared" ref="N17:N34" si="15">0.32*POWER(M17,-0.25)</f>
        <v>#DIV/0!</v>
      </c>
      <c r="O17" s="76" t="e">
        <f t="shared" ref="O17:O34" si="16">6.25*100000*N17*POWER(F17,2)*$D$5/POWER(I17,5)</f>
        <v>#DIV/0!</v>
      </c>
      <c r="P17" s="76" t="e">
        <f t="shared" ref="P17:P34" si="17">O17*K17</f>
        <v>#DIV/0!</v>
      </c>
      <c r="Q17" s="28"/>
      <c r="R17" s="28"/>
      <c r="S17" s="74">
        <f t="shared" ref="S17:S34" si="18">R17-Q17</f>
        <v>0</v>
      </c>
      <c r="T17" s="74">
        <f t="shared" ref="T17:T34" si="19">$Q$6*S17</f>
        <v>0</v>
      </c>
      <c r="U17" s="73" t="e">
        <f t="shared" si="2"/>
        <v>#DIV/0!</v>
      </c>
      <c r="V17" s="81" t="e">
        <f>(V15+U17)</f>
        <v>#DIV/0!</v>
      </c>
      <c r="W17" s="83" t="str">
        <f t="shared" si="1"/>
        <v>E-TØR2</v>
      </c>
      <c r="X17" s="35"/>
    </row>
    <row r="18" spans="1:24" x14ac:dyDescent="0.3">
      <c r="A18" s="85"/>
      <c r="B18" s="86"/>
      <c r="C18" s="86"/>
      <c r="D18" s="87"/>
      <c r="E18" s="113"/>
      <c r="F18" s="114"/>
      <c r="G18" s="115"/>
      <c r="H18" s="87"/>
      <c r="I18" s="87"/>
      <c r="J18" s="87"/>
      <c r="K18" s="89"/>
      <c r="L18" s="88"/>
      <c r="M18" s="88"/>
      <c r="N18" s="90"/>
      <c r="O18" s="91"/>
      <c r="P18" s="91"/>
      <c r="Q18" s="87"/>
      <c r="R18" s="87"/>
      <c r="S18" s="89"/>
      <c r="T18" s="89"/>
      <c r="U18" s="88"/>
      <c r="V18" s="88"/>
      <c r="W18" s="92"/>
      <c r="X18" s="35"/>
    </row>
    <row r="19" spans="1:24" ht="13.2" customHeight="1" x14ac:dyDescent="0.3">
      <c r="A19" s="77" t="s">
        <v>207</v>
      </c>
      <c r="B19" s="27" t="s">
        <v>130</v>
      </c>
      <c r="C19" s="27" t="s">
        <v>144</v>
      </c>
      <c r="D19" s="28"/>
      <c r="E19" s="110">
        <v>0</v>
      </c>
      <c r="F19" s="111">
        <f t="shared" si="11"/>
        <v>0</v>
      </c>
      <c r="G19" s="112">
        <f>IF(B19="",0,VLOOKUP(C19,Henvisning!$O$9:$Q$14,MATCH(B19,Henvisning!$P$7:$Q$7,0)+1,FALSE))</f>
        <v>0.8</v>
      </c>
      <c r="H19" s="28"/>
      <c r="I19" s="28"/>
      <c r="J19" s="28"/>
      <c r="K19" s="74">
        <f t="shared" si="12"/>
        <v>0</v>
      </c>
      <c r="L19" s="73" t="e">
        <f t="shared" si="13"/>
        <v>#DIV/0!</v>
      </c>
      <c r="M19" s="81" t="e">
        <f t="shared" si="14"/>
        <v>#DIV/0!</v>
      </c>
      <c r="N19" s="75" t="e">
        <f t="shared" si="15"/>
        <v>#DIV/0!</v>
      </c>
      <c r="O19" s="76" t="e">
        <f t="shared" si="16"/>
        <v>#DIV/0!</v>
      </c>
      <c r="P19" s="76" t="e">
        <f t="shared" si="17"/>
        <v>#DIV/0!</v>
      </c>
      <c r="Q19" s="28"/>
      <c r="R19" s="28"/>
      <c r="S19" s="74">
        <f t="shared" si="18"/>
        <v>0</v>
      </c>
      <c r="T19" s="74">
        <f t="shared" si="19"/>
        <v>0</v>
      </c>
      <c r="U19" s="73" t="e">
        <f t="shared" si="2"/>
        <v>#DIV/0!</v>
      </c>
      <c r="V19" s="81" t="e">
        <f t="shared" si="10"/>
        <v>#DIV/0!</v>
      </c>
      <c r="W19" s="83" t="str">
        <f>A19</f>
        <v>A-Kedel</v>
      </c>
      <c r="X19" s="35"/>
    </row>
    <row r="20" spans="1:24" ht="13.2" customHeight="1" x14ac:dyDescent="0.3">
      <c r="A20" s="85"/>
      <c r="B20" s="86"/>
      <c r="C20" s="86"/>
      <c r="D20" s="87"/>
      <c r="E20" s="113"/>
      <c r="F20" s="114"/>
      <c r="G20" s="115"/>
      <c r="H20" s="87"/>
      <c r="I20" s="87"/>
      <c r="J20" s="87"/>
      <c r="K20" s="89"/>
      <c r="L20" s="88"/>
      <c r="M20" s="88"/>
      <c r="N20" s="90"/>
      <c r="O20" s="91"/>
      <c r="P20" s="91"/>
      <c r="Q20" s="87"/>
      <c r="R20" s="87"/>
      <c r="S20" s="89">
        <f t="shared" si="18"/>
        <v>0</v>
      </c>
      <c r="T20" s="89">
        <f t="shared" si="19"/>
        <v>0</v>
      </c>
      <c r="U20" s="88"/>
      <c r="V20" s="88"/>
      <c r="W20" s="92"/>
      <c r="X20" s="35"/>
    </row>
    <row r="21" spans="1:24" ht="13.2" customHeight="1" x14ac:dyDescent="0.3">
      <c r="A21" s="77" t="s">
        <v>194</v>
      </c>
      <c r="B21" s="27" t="s">
        <v>131</v>
      </c>
      <c r="C21" s="27" t="s">
        <v>144</v>
      </c>
      <c r="D21" s="28"/>
      <c r="E21" s="110">
        <v>0</v>
      </c>
      <c r="F21" s="111">
        <f t="shared" si="11"/>
        <v>0</v>
      </c>
      <c r="G21" s="112">
        <f>IF(B21="",0,VLOOKUP(C21,Henvisning!$O$9:$Q$14,MATCH(B21,Henvisning!$P$7:$Q$7,0)+1,FALSE))</f>
        <v>0.3</v>
      </c>
      <c r="H21" s="28"/>
      <c r="I21" s="28"/>
      <c r="J21" s="28"/>
      <c r="K21" s="74">
        <f t="shared" si="12"/>
        <v>0</v>
      </c>
      <c r="L21" s="73" t="e">
        <f t="shared" si="13"/>
        <v>#DIV/0!</v>
      </c>
      <c r="M21" s="81" t="e">
        <f t="shared" si="14"/>
        <v>#DIV/0!</v>
      </c>
      <c r="N21" s="75" t="e">
        <f t="shared" si="15"/>
        <v>#DIV/0!</v>
      </c>
      <c r="O21" s="76" t="e">
        <f t="shared" si="16"/>
        <v>#DIV/0!</v>
      </c>
      <c r="P21" s="76" t="e">
        <f t="shared" si="17"/>
        <v>#DIV/0!</v>
      </c>
      <c r="Q21" s="28"/>
      <c r="R21" s="28"/>
      <c r="S21" s="74">
        <f t="shared" si="18"/>
        <v>0</v>
      </c>
      <c r="T21" s="74">
        <f t="shared" si="19"/>
        <v>0</v>
      </c>
      <c r="U21" s="73" t="e">
        <f t="shared" si="2"/>
        <v>#DIV/0!</v>
      </c>
      <c r="V21" s="81" t="e">
        <f t="shared" si="10"/>
        <v>#DIV/0!</v>
      </c>
      <c r="W21" s="83" t="str">
        <f>A21</f>
        <v>B-B1</v>
      </c>
      <c r="X21" s="35"/>
    </row>
    <row r="22" spans="1:24" x14ac:dyDescent="0.3">
      <c r="A22" s="77" t="s">
        <v>195</v>
      </c>
      <c r="B22" s="27" t="s">
        <v>131</v>
      </c>
      <c r="C22" s="27" t="s">
        <v>144</v>
      </c>
      <c r="D22" s="28"/>
      <c r="E22" s="110">
        <v>0</v>
      </c>
      <c r="F22" s="111">
        <f t="shared" si="11"/>
        <v>0</v>
      </c>
      <c r="G22" s="112">
        <f>IF(B22="",0,VLOOKUP(C22,Henvisning!$O$9:$Q$14,MATCH(B22,Henvisning!$P$7:$Q$7,0)+1,FALSE))</f>
        <v>0.3</v>
      </c>
      <c r="H22" s="28"/>
      <c r="I22" s="28"/>
      <c r="J22" s="28"/>
      <c r="K22" s="74">
        <f t="shared" si="12"/>
        <v>0</v>
      </c>
      <c r="L22" s="73" t="e">
        <f t="shared" si="13"/>
        <v>#DIV/0!</v>
      </c>
      <c r="M22" s="81" t="e">
        <f t="shared" si="14"/>
        <v>#DIV/0!</v>
      </c>
      <c r="N22" s="75" t="e">
        <f t="shared" si="15"/>
        <v>#DIV/0!</v>
      </c>
      <c r="O22" s="76" t="e">
        <f t="shared" si="16"/>
        <v>#DIV/0!</v>
      </c>
      <c r="P22" s="76" t="e">
        <f t="shared" si="17"/>
        <v>#DIV/0!</v>
      </c>
      <c r="Q22" s="28"/>
      <c r="R22" s="28"/>
      <c r="S22" s="74">
        <f t="shared" si="18"/>
        <v>0</v>
      </c>
      <c r="T22" s="74">
        <f t="shared" si="19"/>
        <v>0</v>
      </c>
      <c r="U22" s="73" t="e">
        <f t="shared" si="2"/>
        <v>#DIV/0!</v>
      </c>
      <c r="V22" s="81" t="e">
        <f t="shared" si="10"/>
        <v>#DIV/0!</v>
      </c>
      <c r="W22" s="83" t="str">
        <f>A22</f>
        <v>B1-B2</v>
      </c>
      <c r="X22" s="35"/>
    </row>
    <row r="23" spans="1:24" x14ac:dyDescent="0.3">
      <c r="A23" s="77" t="s">
        <v>198</v>
      </c>
      <c r="B23" s="27" t="s">
        <v>131</v>
      </c>
      <c r="C23" s="27" t="s">
        <v>144</v>
      </c>
      <c r="D23" s="28"/>
      <c r="E23" s="110">
        <v>0</v>
      </c>
      <c r="F23" s="111">
        <f t="shared" si="11"/>
        <v>0</v>
      </c>
      <c r="G23" s="112">
        <f>IF(B23="",0,VLOOKUP(C23,Henvisning!$O$9:$Q$14,MATCH(B23,Henvisning!$P$7:$Q$7,0)+1,FALSE))</f>
        <v>0.3</v>
      </c>
      <c r="H23" s="28"/>
      <c r="I23" s="28"/>
      <c r="J23" s="28"/>
      <c r="K23" s="74">
        <f t="shared" si="12"/>
        <v>0</v>
      </c>
      <c r="L23" s="73" t="e">
        <f t="shared" si="13"/>
        <v>#DIV/0!</v>
      </c>
      <c r="M23" s="81" t="e">
        <f t="shared" si="14"/>
        <v>#DIV/0!</v>
      </c>
      <c r="N23" s="75" t="e">
        <f t="shared" si="15"/>
        <v>#DIV/0!</v>
      </c>
      <c r="O23" s="76" t="e">
        <f t="shared" si="16"/>
        <v>#DIV/0!</v>
      </c>
      <c r="P23" s="76" t="e">
        <f t="shared" si="17"/>
        <v>#DIV/0!</v>
      </c>
      <c r="Q23" s="28"/>
      <c r="R23" s="28"/>
      <c r="S23" s="74">
        <f t="shared" si="18"/>
        <v>0</v>
      </c>
      <c r="T23" s="74">
        <f t="shared" si="19"/>
        <v>0</v>
      </c>
      <c r="U23" s="73" t="e">
        <f t="shared" si="2"/>
        <v>#DIV/0!</v>
      </c>
      <c r="V23" s="81" t="e">
        <f t="shared" si="10"/>
        <v>#DIV/0!</v>
      </c>
      <c r="W23" s="83" t="str">
        <f>A23</f>
        <v>B4-Måler</v>
      </c>
      <c r="X23" s="35"/>
    </row>
    <row r="24" spans="1:24" ht="13.2" customHeight="1" x14ac:dyDescent="0.3">
      <c r="A24" s="77" t="s">
        <v>199</v>
      </c>
      <c r="B24" s="27" t="s">
        <v>131</v>
      </c>
      <c r="C24" s="27" t="s">
        <v>144</v>
      </c>
      <c r="D24" s="28"/>
      <c r="E24" s="110">
        <v>0</v>
      </c>
      <c r="F24" s="111">
        <f t="shared" si="11"/>
        <v>0</v>
      </c>
      <c r="G24" s="112">
        <f>IF(B24="",0,VLOOKUP(C24,Henvisning!$O$9:$Q$14,MATCH(B24,Henvisning!$P$7:$Q$7,0)+1,FALSE))</f>
        <v>0.3</v>
      </c>
      <c r="H24" s="28"/>
      <c r="I24" s="28"/>
      <c r="J24" s="28"/>
      <c r="K24" s="74">
        <f t="shared" si="12"/>
        <v>0</v>
      </c>
      <c r="L24" s="73" t="e">
        <f t="shared" si="13"/>
        <v>#DIV/0!</v>
      </c>
      <c r="M24" s="81" t="e">
        <f t="shared" si="14"/>
        <v>#DIV/0!</v>
      </c>
      <c r="N24" s="75" t="e">
        <f t="shared" si="15"/>
        <v>#DIV/0!</v>
      </c>
      <c r="O24" s="76" t="e">
        <f t="shared" si="16"/>
        <v>#DIV/0!</v>
      </c>
      <c r="P24" s="76" t="e">
        <f t="shared" si="17"/>
        <v>#DIV/0!</v>
      </c>
      <c r="Q24" s="82"/>
      <c r="R24" s="82"/>
      <c r="S24" s="74">
        <f t="shared" si="18"/>
        <v>0</v>
      </c>
      <c r="T24" s="74">
        <f t="shared" si="19"/>
        <v>0</v>
      </c>
      <c r="U24" s="73" t="e">
        <f t="shared" si="2"/>
        <v>#DIV/0!</v>
      </c>
      <c r="V24" s="81" t="e">
        <f t="shared" si="10"/>
        <v>#DIV/0!</v>
      </c>
      <c r="W24" s="83" t="str">
        <f>A24</f>
        <v>Måler- komfur</v>
      </c>
      <c r="X24" s="35"/>
    </row>
    <row r="25" spans="1:24" x14ac:dyDescent="0.3">
      <c r="A25" s="85"/>
      <c r="B25" s="86"/>
      <c r="C25" s="86"/>
      <c r="D25" s="87"/>
      <c r="E25" s="113"/>
      <c r="F25" s="114"/>
      <c r="G25" s="115"/>
      <c r="H25" s="87"/>
      <c r="I25" s="87"/>
      <c r="J25" s="87"/>
      <c r="K25" s="89"/>
      <c r="L25" s="88"/>
      <c r="M25" s="88"/>
      <c r="N25" s="90"/>
      <c r="O25" s="91"/>
      <c r="P25" s="91"/>
      <c r="Q25" s="87"/>
      <c r="R25" s="87"/>
      <c r="S25" s="89"/>
      <c r="T25" s="89"/>
      <c r="U25" s="88"/>
      <c r="V25" s="88"/>
      <c r="W25" s="92"/>
      <c r="X25" s="35"/>
    </row>
    <row r="26" spans="1:24" x14ac:dyDescent="0.3">
      <c r="A26" s="77" t="s">
        <v>196</v>
      </c>
      <c r="B26" s="27" t="s">
        <v>131</v>
      </c>
      <c r="C26" s="27" t="s">
        <v>144</v>
      </c>
      <c r="D26" s="28"/>
      <c r="E26" s="110">
        <v>0</v>
      </c>
      <c r="F26" s="111">
        <f t="shared" si="11"/>
        <v>0</v>
      </c>
      <c r="G26" s="112">
        <f>IF(B26="",0,VLOOKUP(C26,Henvisning!$O$9:$Q$14,MATCH(B26,Henvisning!$P$7:$Q$7,0)+1,FALSE))</f>
        <v>0.3</v>
      </c>
      <c r="H26" s="28"/>
      <c r="I26" s="28"/>
      <c r="J26" s="28"/>
      <c r="K26" s="74">
        <f t="shared" si="12"/>
        <v>0</v>
      </c>
      <c r="L26" s="73" t="e">
        <f t="shared" si="13"/>
        <v>#DIV/0!</v>
      </c>
      <c r="M26" s="81" t="e">
        <f t="shared" si="14"/>
        <v>#DIV/0!</v>
      </c>
      <c r="N26" s="75" t="e">
        <f t="shared" si="15"/>
        <v>#DIV/0!</v>
      </c>
      <c r="O26" s="76" t="e">
        <f t="shared" si="16"/>
        <v>#DIV/0!</v>
      </c>
      <c r="P26" s="76" t="e">
        <f t="shared" si="17"/>
        <v>#DIV/0!</v>
      </c>
      <c r="Q26" s="28"/>
      <c r="R26" s="28"/>
      <c r="S26" s="74">
        <f t="shared" si="18"/>
        <v>0</v>
      </c>
      <c r="T26" s="74">
        <f t="shared" si="19"/>
        <v>0</v>
      </c>
      <c r="U26" s="73" t="e">
        <f t="shared" si="2"/>
        <v>#DIV/0!</v>
      </c>
      <c r="V26" s="81" t="e">
        <f t="shared" si="10"/>
        <v>#DIV/0!</v>
      </c>
      <c r="W26" s="83" t="str">
        <f>A26</f>
        <v>C-C1</v>
      </c>
      <c r="X26" s="35"/>
    </row>
    <row r="27" spans="1:24" x14ac:dyDescent="0.3">
      <c r="A27" s="77" t="s">
        <v>197</v>
      </c>
      <c r="B27" s="27" t="s">
        <v>131</v>
      </c>
      <c r="C27" s="27" t="s">
        <v>144</v>
      </c>
      <c r="D27" s="28"/>
      <c r="E27" s="110">
        <v>0</v>
      </c>
      <c r="F27" s="111">
        <f t="shared" si="11"/>
        <v>0</v>
      </c>
      <c r="G27" s="112">
        <f>IF(B27="",0,VLOOKUP(C27,Henvisning!$O$9:$Q$14,MATCH(B27,Henvisning!$P$7:$Q$7,0)+1,FALSE))</f>
        <v>0.3</v>
      </c>
      <c r="H27" s="28"/>
      <c r="I27" s="28"/>
      <c r="J27" s="28"/>
      <c r="K27" s="74">
        <f t="shared" si="12"/>
        <v>0</v>
      </c>
      <c r="L27" s="73" t="e">
        <f t="shared" si="13"/>
        <v>#DIV/0!</v>
      </c>
      <c r="M27" s="81" t="e">
        <f t="shared" si="14"/>
        <v>#DIV/0!</v>
      </c>
      <c r="N27" s="75" t="e">
        <f t="shared" si="15"/>
        <v>#DIV/0!</v>
      </c>
      <c r="O27" s="76" t="e">
        <f t="shared" si="16"/>
        <v>#DIV/0!</v>
      </c>
      <c r="P27" s="76" t="e">
        <f t="shared" si="17"/>
        <v>#DIV/0!</v>
      </c>
      <c r="Q27" s="28"/>
      <c r="R27" s="28"/>
      <c r="S27" s="74">
        <f t="shared" si="18"/>
        <v>0</v>
      </c>
      <c r="T27" s="74">
        <f t="shared" si="19"/>
        <v>0</v>
      </c>
      <c r="U27" s="73" t="e">
        <f t="shared" si="2"/>
        <v>#DIV/0!</v>
      </c>
      <c r="V27" s="81" t="e">
        <f t="shared" si="10"/>
        <v>#DIV/0!</v>
      </c>
      <c r="W27" s="83" t="str">
        <f>A27</f>
        <v>C1-C2</v>
      </c>
      <c r="X27" s="35"/>
    </row>
    <row r="28" spans="1:24" x14ac:dyDescent="0.3">
      <c r="A28" s="77" t="s">
        <v>200</v>
      </c>
      <c r="B28" s="27" t="s">
        <v>131</v>
      </c>
      <c r="C28" s="27" t="s">
        <v>144</v>
      </c>
      <c r="D28" s="28"/>
      <c r="E28" s="110">
        <v>0</v>
      </c>
      <c r="F28" s="111">
        <f t="shared" si="11"/>
        <v>0</v>
      </c>
      <c r="G28" s="112">
        <f>IF(B28="",0,VLOOKUP(C28,Henvisning!$O$9:$Q$14,MATCH(B28,Henvisning!$P$7:$Q$7,0)+1,FALSE))</f>
        <v>0.3</v>
      </c>
      <c r="H28" s="28"/>
      <c r="I28" s="28"/>
      <c r="J28" s="28"/>
      <c r="K28" s="74">
        <f t="shared" si="12"/>
        <v>0</v>
      </c>
      <c r="L28" s="73" t="e">
        <f t="shared" si="13"/>
        <v>#DIV/0!</v>
      </c>
      <c r="M28" s="81" t="e">
        <f t="shared" si="14"/>
        <v>#DIV/0!</v>
      </c>
      <c r="N28" s="75" t="e">
        <f t="shared" si="15"/>
        <v>#DIV/0!</v>
      </c>
      <c r="O28" s="76" t="e">
        <f t="shared" si="16"/>
        <v>#DIV/0!</v>
      </c>
      <c r="P28" s="76" t="e">
        <f t="shared" si="17"/>
        <v>#DIV/0!</v>
      </c>
      <c r="Q28" s="28"/>
      <c r="R28" s="28"/>
      <c r="S28" s="74">
        <f t="shared" si="18"/>
        <v>0</v>
      </c>
      <c r="T28" s="74">
        <f t="shared" si="19"/>
        <v>0</v>
      </c>
      <c r="U28" s="73" t="e">
        <f t="shared" si="2"/>
        <v>#DIV/0!</v>
      </c>
      <c r="V28" s="81" t="e">
        <f t="shared" si="10"/>
        <v>#DIV/0!</v>
      </c>
      <c r="W28" s="83" t="str">
        <f>A28</f>
        <v>C2-Måler</v>
      </c>
      <c r="X28" s="35"/>
    </row>
    <row r="29" spans="1:24" x14ac:dyDescent="0.3">
      <c r="A29" s="77" t="s">
        <v>201</v>
      </c>
      <c r="B29" s="27" t="s">
        <v>131</v>
      </c>
      <c r="C29" s="27" t="s">
        <v>144</v>
      </c>
      <c r="D29" s="28"/>
      <c r="E29" s="110">
        <v>0</v>
      </c>
      <c r="F29" s="111">
        <f t="shared" si="11"/>
        <v>0</v>
      </c>
      <c r="G29" s="112">
        <f>IF(B29="",0,VLOOKUP(C29,Henvisning!$O$9:$Q$14,MATCH(B29,Henvisning!$P$7:$Q$7,0)+1,FALSE))</f>
        <v>0.3</v>
      </c>
      <c r="H29" s="28"/>
      <c r="I29" s="28"/>
      <c r="J29" s="28"/>
      <c r="K29" s="74">
        <f t="shared" si="12"/>
        <v>0</v>
      </c>
      <c r="L29" s="73" t="e">
        <f t="shared" si="13"/>
        <v>#DIV/0!</v>
      </c>
      <c r="M29" s="81" t="e">
        <f t="shared" si="14"/>
        <v>#DIV/0!</v>
      </c>
      <c r="N29" s="75" t="e">
        <f t="shared" si="15"/>
        <v>#DIV/0!</v>
      </c>
      <c r="O29" s="76" t="e">
        <f t="shared" si="16"/>
        <v>#DIV/0!</v>
      </c>
      <c r="P29" s="76" t="e">
        <f t="shared" si="17"/>
        <v>#DIV/0!</v>
      </c>
      <c r="Q29" s="82"/>
      <c r="R29" s="82"/>
      <c r="S29" s="74">
        <f t="shared" si="18"/>
        <v>0</v>
      </c>
      <c r="T29" s="74">
        <f t="shared" si="19"/>
        <v>0</v>
      </c>
      <c r="U29" s="73" t="e">
        <f t="shared" si="2"/>
        <v>#DIV/0!</v>
      </c>
      <c r="V29" s="81" t="e">
        <f t="shared" si="10"/>
        <v>#DIV/0!</v>
      </c>
      <c r="W29" s="83" t="str">
        <f>A29</f>
        <v>Måler-Komfur</v>
      </c>
      <c r="X29" s="35"/>
    </row>
    <row r="30" spans="1:24" x14ac:dyDescent="0.3">
      <c r="A30" s="85"/>
      <c r="B30" s="86"/>
      <c r="C30" s="86"/>
      <c r="D30" s="87"/>
      <c r="E30" s="113"/>
      <c r="F30" s="114"/>
      <c r="G30" s="115"/>
      <c r="H30" s="87"/>
      <c r="I30" s="87"/>
      <c r="J30" s="87"/>
      <c r="K30" s="89"/>
      <c r="L30" s="88"/>
      <c r="M30" s="88"/>
      <c r="N30" s="90"/>
      <c r="O30" s="91"/>
      <c r="P30" s="91"/>
      <c r="Q30" s="87"/>
      <c r="R30" s="87"/>
      <c r="S30" s="89"/>
      <c r="T30" s="89"/>
      <c r="U30" s="88"/>
      <c r="V30" s="88"/>
      <c r="W30" s="92"/>
      <c r="X30" s="35"/>
    </row>
    <row r="31" spans="1:24" x14ac:dyDescent="0.3">
      <c r="A31" s="78" t="s">
        <v>202</v>
      </c>
      <c r="B31" s="27" t="s">
        <v>131</v>
      </c>
      <c r="C31" s="27" t="s">
        <v>144</v>
      </c>
      <c r="D31" s="28"/>
      <c r="E31" s="110">
        <v>0</v>
      </c>
      <c r="F31" s="111">
        <f t="shared" si="11"/>
        <v>0</v>
      </c>
      <c r="G31" s="112">
        <f>IF(B31="",0,VLOOKUP(C31,Henvisning!$O$9:$Q$14,MATCH(B31,Henvisning!$P$7:$Q$7,0)+1,FALSE))</f>
        <v>0.3</v>
      </c>
      <c r="H31" s="28"/>
      <c r="I31" s="28"/>
      <c r="J31" s="28"/>
      <c r="K31" s="74">
        <f t="shared" si="12"/>
        <v>0</v>
      </c>
      <c r="L31" s="73" t="e">
        <f t="shared" si="13"/>
        <v>#DIV/0!</v>
      </c>
      <c r="M31" s="81" t="e">
        <f t="shared" si="14"/>
        <v>#DIV/0!</v>
      </c>
      <c r="N31" s="75" t="e">
        <f t="shared" si="15"/>
        <v>#DIV/0!</v>
      </c>
      <c r="O31" s="76" t="e">
        <f t="shared" si="16"/>
        <v>#DIV/0!</v>
      </c>
      <c r="P31" s="76" t="e">
        <f t="shared" si="17"/>
        <v>#DIV/0!</v>
      </c>
      <c r="Q31" s="28"/>
      <c r="R31" s="28"/>
      <c r="S31" s="74">
        <f t="shared" si="18"/>
        <v>0</v>
      </c>
      <c r="T31" s="74">
        <f t="shared" si="19"/>
        <v>0</v>
      </c>
      <c r="U31" s="73" t="e">
        <f t="shared" si="2"/>
        <v>#DIV/0!</v>
      </c>
      <c r="V31" s="81" t="e">
        <f t="shared" si="10"/>
        <v>#DIV/0!</v>
      </c>
      <c r="W31" s="84" t="str">
        <f>A31</f>
        <v>D-D1</v>
      </c>
      <c r="X31" s="35"/>
    </row>
    <row r="32" spans="1:24" x14ac:dyDescent="0.3">
      <c r="A32" s="77" t="s">
        <v>203</v>
      </c>
      <c r="B32" s="27" t="s">
        <v>131</v>
      </c>
      <c r="C32" s="27" t="s">
        <v>144</v>
      </c>
      <c r="D32" s="28"/>
      <c r="E32" s="110">
        <v>0</v>
      </c>
      <c r="F32" s="111">
        <f t="shared" si="11"/>
        <v>0</v>
      </c>
      <c r="G32" s="112">
        <f>IF(B32="",0,VLOOKUP(C32,Henvisning!$O$9:$Q$14,MATCH(B32,Henvisning!$P$7:$Q$7,0)+1,FALSE))</f>
        <v>0.3</v>
      </c>
      <c r="H32" s="28"/>
      <c r="I32" s="28"/>
      <c r="J32" s="28"/>
      <c r="K32" s="74">
        <f t="shared" si="12"/>
        <v>0</v>
      </c>
      <c r="L32" s="73" t="e">
        <f t="shared" si="13"/>
        <v>#DIV/0!</v>
      </c>
      <c r="M32" s="81" t="e">
        <f t="shared" si="14"/>
        <v>#DIV/0!</v>
      </c>
      <c r="N32" s="75" t="e">
        <f t="shared" si="15"/>
        <v>#DIV/0!</v>
      </c>
      <c r="O32" s="76" t="e">
        <f t="shared" si="16"/>
        <v>#DIV/0!</v>
      </c>
      <c r="P32" s="76" t="e">
        <f t="shared" si="17"/>
        <v>#DIV/0!</v>
      </c>
      <c r="Q32" s="28"/>
      <c r="R32" s="28"/>
      <c r="S32" s="74">
        <f t="shared" si="18"/>
        <v>0</v>
      </c>
      <c r="T32" s="74">
        <f t="shared" si="19"/>
        <v>0</v>
      </c>
      <c r="U32" s="73" t="e">
        <f t="shared" si="2"/>
        <v>#DIV/0!</v>
      </c>
      <c r="V32" s="81" t="e">
        <f t="shared" si="10"/>
        <v>#DIV/0!</v>
      </c>
      <c r="W32" s="83" t="str">
        <f>A32</f>
        <v>D1-D2</v>
      </c>
      <c r="X32" s="35"/>
    </row>
    <row r="33" spans="1:24" x14ac:dyDescent="0.3">
      <c r="A33" s="77" t="s">
        <v>204</v>
      </c>
      <c r="B33" s="27" t="s">
        <v>131</v>
      </c>
      <c r="C33" s="27" t="s">
        <v>144</v>
      </c>
      <c r="D33" s="28"/>
      <c r="E33" s="110">
        <v>0</v>
      </c>
      <c r="F33" s="111">
        <f t="shared" si="11"/>
        <v>0</v>
      </c>
      <c r="G33" s="112">
        <f>IF(B33="",0,VLOOKUP(C33,Henvisning!$O$9:$Q$14,MATCH(B33,Henvisning!$P$7:$Q$7,0)+1,FALSE))</f>
        <v>0.3</v>
      </c>
      <c r="H33" s="28"/>
      <c r="I33" s="28"/>
      <c r="J33" s="28"/>
      <c r="K33" s="74">
        <f t="shared" si="12"/>
        <v>0</v>
      </c>
      <c r="L33" s="73" t="e">
        <f t="shared" si="13"/>
        <v>#DIV/0!</v>
      </c>
      <c r="M33" s="81" t="e">
        <f t="shared" si="14"/>
        <v>#DIV/0!</v>
      </c>
      <c r="N33" s="75" t="e">
        <f t="shared" si="15"/>
        <v>#DIV/0!</v>
      </c>
      <c r="O33" s="76" t="e">
        <f t="shared" si="16"/>
        <v>#DIV/0!</v>
      </c>
      <c r="P33" s="76" t="e">
        <f t="shared" si="17"/>
        <v>#DIV/0!</v>
      </c>
      <c r="Q33" s="28"/>
      <c r="R33" s="28"/>
      <c r="S33" s="74">
        <f t="shared" si="18"/>
        <v>0</v>
      </c>
      <c r="T33" s="74">
        <f t="shared" si="19"/>
        <v>0</v>
      </c>
      <c r="U33" s="73" t="e">
        <f t="shared" si="2"/>
        <v>#DIV/0!</v>
      </c>
      <c r="V33" s="81" t="e">
        <f t="shared" si="10"/>
        <v>#DIV/0!</v>
      </c>
      <c r="W33" s="83" t="str">
        <f>A33</f>
        <v>D2-Måler</v>
      </c>
      <c r="X33" s="35"/>
    </row>
    <row r="34" spans="1:24" ht="13.95" customHeight="1" x14ac:dyDescent="0.3">
      <c r="A34" s="77" t="s">
        <v>201</v>
      </c>
      <c r="B34" s="27" t="s">
        <v>131</v>
      </c>
      <c r="C34" s="27" t="s">
        <v>144</v>
      </c>
      <c r="D34" s="28"/>
      <c r="E34" s="110">
        <v>0</v>
      </c>
      <c r="F34" s="111">
        <f t="shared" si="11"/>
        <v>0</v>
      </c>
      <c r="G34" s="112">
        <f>IF(B34="",0,VLOOKUP(C34,Henvisning!$O$9:$Q$14,MATCH(B34,Henvisning!$P$7:$Q$7,0)+1,FALSE))</f>
        <v>0.3</v>
      </c>
      <c r="H34" s="28"/>
      <c r="I34" s="28"/>
      <c r="J34" s="28"/>
      <c r="K34" s="74">
        <f t="shared" si="12"/>
        <v>0</v>
      </c>
      <c r="L34" s="73" t="e">
        <f t="shared" si="13"/>
        <v>#DIV/0!</v>
      </c>
      <c r="M34" s="81" t="e">
        <f t="shared" si="14"/>
        <v>#DIV/0!</v>
      </c>
      <c r="N34" s="75" t="e">
        <f t="shared" si="15"/>
        <v>#DIV/0!</v>
      </c>
      <c r="O34" s="76" t="e">
        <f t="shared" si="16"/>
        <v>#DIV/0!</v>
      </c>
      <c r="P34" s="76" t="e">
        <f t="shared" si="17"/>
        <v>#DIV/0!</v>
      </c>
      <c r="Q34" s="82"/>
      <c r="R34" s="82"/>
      <c r="S34" s="74">
        <f t="shared" si="18"/>
        <v>0</v>
      </c>
      <c r="T34" s="74">
        <f t="shared" si="19"/>
        <v>0</v>
      </c>
      <c r="U34" s="73" t="e">
        <f t="shared" si="2"/>
        <v>#DIV/0!</v>
      </c>
      <c r="V34" s="81" t="e">
        <f t="shared" si="10"/>
        <v>#DIV/0!</v>
      </c>
      <c r="W34" s="83" t="str">
        <f>A34</f>
        <v>Måler-Komfur</v>
      </c>
    </row>
    <row r="35" spans="1:24" x14ac:dyDescent="0.3">
      <c r="A35" s="85"/>
      <c r="B35" s="86"/>
      <c r="C35" s="86"/>
      <c r="D35" s="87"/>
      <c r="E35" s="113"/>
      <c r="F35" s="114"/>
      <c r="G35" s="115"/>
      <c r="H35" s="87"/>
      <c r="I35" s="87"/>
      <c r="J35" s="87"/>
      <c r="K35" s="89"/>
      <c r="L35" s="88"/>
      <c r="M35" s="88"/>
      <c r="N35" s="90"/>
      <c r="O35" s="91"/>
      <c r="P35" s="91"/>
      <c r="Q35" s="87"/>
      <c r="R35" s="87"/>
      <c r="S35" s="89"/>
      <c r="T35" s="89"/>
      <c r="U35" s="88"/>
      <c r="V35" s="88"/>
      <c r="W35" s="92"/>
    </row>
    <row r="37" spans="1:24" ht="14.4" customHeight="1" x14ac:dyDescent="0.3"/>
    <row r="38" spans="1:24" ht="14.4" customHeight="1" x14ac:dyDescent="0.3"/>
    <row r="55" ht="14.4" customHeight="1" x14ac:dyDescent="0.3"/>
    <row r="56" ht="28.8" customHeight="1" x14ac:dyDescent="0.3"/>
  </sheetData>
  <dataConsolidate/>
  <mergeCells count="5">
    <mergeCell ref="A1:H1"/>
    <mergeCell ref="K2:M2"/>
    <mergeCell ref="M4:M6"/>
    <mergeCell ref="L4:L6"/>
    <mergeCell ref="D3:E3"/>
  </mergeCells>
  <phoneticPr fontId="30" type="noConversion"/>
  <conditionalFormatting sqref="L11:L13">
    <cfRule type="cellIs" dxfId="1" priority="3" operator="greaterThan">
      <formula>15.01</formula>
    </cfRule>
  </conditionalFormatting>
  <conditionalFormatting sqref="V11:V35">
    <cfRule type="cellIs" dxfId="0" priority="4" operator="greaterThan">
      <formula>$F$3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Henvisning!$O$19:$O$21</xm:f>
          </x14:formula1>
          <xm:sqref>I1</xm:sqref>
        </x14:dataValidation>
        <x14:dataValidation type="list" allowBlank="1" showInputMessage="1" showErrorMessage="1" xr:uid="{00000000-0002-0000-0100-000001000000}">
          <x14:formula1>
            <xm:f>Henvisning!$O$25:$O$31</xm:f>
          </x14:formula1>
          <xm:sqref>M4:M6</xm:sqref>
        </x14:dataValidation>
        <x14:dataValidation type="list" allowBlank="1" showInputMessage="1" showErrorMessage="1" xr:uid="{00000000-0002-0000-0100-000003000000}">
          <x14:formula1>
            <xm:f>Henvisning!$O$9:$O$14</xm:f>
          </x14:formula1>
          <xm:sqref>C11:C35</xm:sqref>
        </x14:dataValidation>
        <x14:dataValidation type="list" allowBlank="1" showInputMessage="1" showErrorMessage="1" xr:uid="{00000000-0002-0000-0100-000002000000}">
          <x14:formula1>
            <xm:f>Henvisning!$P$7:$Q$7</xm:f>
          </x14:formula1>
          <xm:sqref>B11:B35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6733A-2CD7-471E-8D11-1F67AE7964E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8"/>
  <sheetViews>
    <sheetView workbookViewId="0">
      <selection activeCell="L20" sqref="L20"/>
    </sheetView>
  </sheetViews>
  <sheetFormatPr defaultRowHeight="14.4" x14ac:dyDescent="0.3"/>
  <cols>
    <col min="1" max="1" width="10.88671875" bestFit="1" customWidth="1"/>
    <col min="15" max="15" width="26.44140625" customWidth="1"/>
    <col min="16" max="16" width="20.109375" bestFit="1" customWidth="1"/>
    <col min="17" max="17" width="24.44140625" bestFit="1" customWidth="1"/>
    <col min="18" max="18" width="19.5546875" bestFit="1" customWidth="1"/>
    <col min="21" max="22" width="9.88671875" bestFit="1" customWidth="1"/>
  </cols>
  <sheetData>
    <row r="1" spans="1:24" ht="90.6" x14ac:dyDescent="0.4">
      <c r="A1" s="36" t="s">
        <v>106</v>
      </c>
      <c r="B1" s="37" t="s">
        <v>107</v>
      </c>
      <c r="C1" s="37" t="s">
        <v>108</v>
      </c>
      <c r="D1" s="38" t="s">
        <v>109</v>
      </c>
      <c r="E1" s="38" t="s">
        <v>110</v>
      </c>
      <c r="F1" s="38" t="s">
        <v>111</v>
      </c>
      <c r="G1" s="38" t="s">
        <v>112</v>
      </c>
      <c r="H1" s="38" t="s">
        <v>113</v>
      </c>
      <c r="I1" s="38" t="s">
        <v>114</v>
      </c>
      <c r="J1" s="38" t="s">
        <v>115</v>
      </c>
      <c r="K1" s="38" t="s">
        <v>116</v>
      </c>
      <c r="L1" s="38" t="s">
        <v>117</v>
      </c>
      <c r="M1" s="38" t="s">
        <v>118</v>
      </c>
    </row>
    <row r="2" spans="1:24" ht="17.399999999999999" x14ac:dyDescent="0.4">
      <c r="A2" s="36" t="s">
        <v>43</v>
      </c>
      <c r="B2" s="37">
        <v>0</v>
      </c>
      <c r="C2" s="37">
        <v>0</v>
      </c>
      <c r="D2" s="37">
        <v>0</v>
      </c>
      <c r="E2" s="37">
        <v>0</v>
      </c>
      <c r="F2" s="37">
        <v>0</v>
      </c>
      <c r="G2" s="37">
        <v>0</v>
      </c>
      <c r="H2" s="37">
        <v>0</v>
      </c>
      <c r="I2" s="37">
        <v>0</v>
      </c>
      <c r="J2" s="37">
        <v>0</v>
      </c>
      <c r="K2" s="37">
        <v>0</v>
      </c>
      <c r="L2" s="37">
        <v>0</v>
      </c>
      <c r="M2" s="37">
        <v>0</v>
      </c>
      <c r="O2" s="42" t="s">
        <v>106</v>
      </c>
      <c r="P2" s="43" t="s">
        <v>119</v>
      </c>
      <c r="Q2" s="43" t="s">
        <v>120</v>
      </c>
      <c r="R2" s="42" t="s">
        <v>62</v>
      </c>
      <c r="S2" s="42"/>
      <c r="U2" s="62" t="s">
        <v>1</v>
      </c>
      <c r="V2" s="63" t="s">
        <v>2</v>
      </c>
      <c r="W2" s="55" t="s">
        <v>3</v>
      </c>
      <c r="X2" s="56" t="s">
        <v>4</v>
      </c>
    </row>
    <row r="3" spans="1:24" x14ac:dyDescent="0.3">
      <c r="A3" s="39" t="s">
        <v>121</v>
      </c>
      <c r="B3" s="37">
        <v>1.2999999999999999E-2</v>
      </c>
      <c r="C3" s="37">
        <v>1.5E-6</v>
      </c>
      <c r="D3" s="37">
        <v>0.15</v>
      </c>
      <c r="E3" s="37">
        <v>0.4</v>
      </c>
      <c r="F3" s="37">
        <v>0.15</v>
      </c>
      <c r="G3" s="37">
        <v>0.1</v>
      </c>
      <c r="H3" s="37">
        <v>0.1</v>
      </c>
      <c r="I3" s="37">
        <v>0.15</v>
      </c>
      <c r="J3" s="37">
        <v>0.8</v>
      </c>
      <c r="K3" s="37">
        <v>0.15</v>
      </c>
      <c r="L3" s="37">
        <v>0.52</v>
      </c>
      <c r="M3" s="37">
        <v>1.3</v>
      </c>
      <c r="O3" s="42" t="s">
        <v>122</v>
      </c>
      <c r="P3" s="43">
        <v>21350</v>
      </c>
      <c r="Q3" s="43">
        <v>0.8</v>
      </c>
      <c r="R3" s="43">
        <f>13.9*10^-6</f>
        <v>1.3899999999999999E-5</v>
      </c>
      <c r="S3" s="42"/>
      <c r="U3" s="63" t="s">
        <v>7</v>
      </c>
      <c r="V3" s="64" t="s">
        <v>8</v>
      </c>
      <c r="W3" s="65" t="s">
        <v>9</v>
      </c>
      <c r="X3" s="58">
        <v>16</v>
      </c>
    </row>
    <row r="4" spans="1:24" x14ac:dyDescent="0.3">
      <c r="A4" s="39" t="s">
        <v>123</v>
      </c>
      <c r="B4" s="37">
        <v>1.6E-2</v>
      </c>
      <c r="C4" s="37">
        <v>1.5E-6</v>
      </c>
      <c r="D4" s="37">
        <v>0.2</v>
      </c>
      <c r="E4" s="37">
        <v>0.5</v>
      </c>
      <c r="F4" s="37">
        <v>0.2</v>
      </c>
      <c r="G4" s="37">
        <v>0.1</v>
      </c>
      <c r="H4" s="37">
        <v>0.1</v>
      </c>
      <c r="I4" s="37">
        <v>0.2</v>
      </c>
      <c r="J4" s="37">
        <v>1.06</v>
      </c>
      <c r="K4" s="37">
        <v>0.2</v>
      </c>
      <c r="L4" s="37">
        <v>0.64</v>
      </c>
      <c r="M4" s="37">
        <v>1.7</v>
      </c>
      <c r="O4" s="42" t="s">
        <v>124</v>
      </c>
      <c r="P4" s="43">
        <v>43000</v>
      </c>
      <c r="Q4" s="43">
        <v>0.63</v>
      </c>
      <c r="R4" s="43">
        <f>10.64*10^-6</f>
        <v>1.064E-5</v>
      </c>
      <c r="S4" s="42"/>
      <c r="U4" s="66" t="s">
        <v>10</v>
      </c>
      <c r="V4" s="67" t="s">
        <v>11</v>
      </c>
      <c r="W4" s="65" t="s">
        <v>12</v>
      </c>
      <c r="X4" s="59">
        <v>21.5</v>
      </c>
    </row>
    <row r="5" spans="1:24" x14ac:dyDescent="0.3">
      <c r="A5" s="39" t="s">
        <v>125</v>
      </c>
      <c r="B5" s="37">
        <v>1.9599999999999999E-2</v>
      </c>
      <c r="C5" s="37">
        <v>1.5E-6</v>
      </c>
      <c r="D5" s="37">
        <v>0.2</v>
      </c>
      <c r="E5" s="37">
        <v>0.6</v>
      </c>
      <c r="F5" s="37">
        <v>0.3</v>
      </c>
      <c r="G5" s="37">
        <v>0.2</v>
      </c>
      <c r="H5" s="37">
        <v>0.2</v>
      </c>
      <c r="I5" s="37">
        <v>0.3</v>
      </c>
      <c r="J5" s="37">
        <v>1.3</v>
      </c>
      <c r="K5" s="37">
        <v>0.3</v>
      </c>
      <c r="L5" s="37">
        <v>0.8</v>
      </c>
      <c r="M5" s="37">
        <v>2.0499999999999998</v>
      </c>
      <c r="O5" s="42" t="s">
        <v>126</v>
      </c>
      <c r="P5" s="43">
        <f>103000</f>
        <v>103000</v>
      </c>
      <c r="Q5" s="43">
        <v>1.63</v>
      </c>
      <c r="R5" s="43">
        <f>8.1*10^-6</f>
        <v>8.0999999999999987E-6</v>
      </c>
      <c r="S5" s="42"/>
      <c r="U5" s="66" t="s">
        <v>16</v>
      </c>
      <c r="V5" s="67" t="s">
        <v>17</v>
      </c>
      <c r="W5" s="65" t="s">
        <v>18</v>
      </c>
      <c r="X5" s="59">
        <v>28.5</v>
      </c>
    </row>
    <row r="6" spans="1:24" x14ac:dyDescent="0.3">
      <c r="A6" s="39" t="s">
        <v>127</v>
      </c>
      <c r="B6" s="37">
        <v>2.5600000000000001E-2</v>
      </c>
      <c r="C6" s="37">
        <v>1.5E-6</v>
      </c>
      <c r="D6" s="37">
        <v>0.3</v>
      </c>
      <c r="E6" s="37">
        <v>0.5</v>
      </c>
      <c r="F6" s="37">
        <v>0.5</v>
      </c>
      <c r="G6" s="37">
        <v>0.3</v>
      </c>
      <c r="H6" s="37">
        <v>0.2</v>
      </c>
      <c r="I6" s="37">
        <v>0.5</v>
      </c>
      <c r="J6" s="37">
        <v>2</v>
      </c>
      <c r="K6" s="37">
        <v>0.5</v>
      </c>
      <c r="L6" s="37">
        <v>1.35</v>
      </c>
      <c r="M6" s="37">
        <v>3.5</v>
      </c>
      <c r="O6" s="42"/>
      <c r="P6" s="42"/>
      <c r="Q6" s="42"/>
      <c r="R6" s="42"/>
      <c r="S6" s="42"/>
      <c r="U6" s="66" t="s">
        <v>21</v>
      </c>
      <c r="V6" s="67" t="s">
        <v>22</v>
      </c>
      <c r="W6" s="65" t="s">
        <v>23</v>
      </c>
      <c r="X6" s="59">
        <v>37.200000000000003</v>
      </c>
    </row>
    <row r="7" spans="1:24" x14ac:dyDescent="0.3">
      <c r="A7" s="39" t="s">
        <v>128</v>
      </c>
      <c r="B7" s="37">
        <v>3.2000000000000001E-2</v>
      </c>
      <c r="C7" s="37">
        <v>1.5E-6</v>
      </c>
      <c r="D7" s="37">
        <v>0.5</v>
      </c>
      <c r="E7" s="37">
        <v>1.4</v>
      </c>
      <c r="F7" s="37">
        <v>0.7</v>
      </c>
      <c r="G7" s="37">
        <v>0.4</v>
      </c>
      <c r="H7" s="37">
        <v>0.3</v>
      </c>
      <c r="I7" s="37">
        <v>0.7</v>
      </c>
      <c r="J7" s="37">
        <v>2.8</v>
      </c>
      <c r="K7" s="37">
        <v>0.7</v>
      </c>
      <c r="L7" s="37">
        <v>1.9</v>
      </c>
      <c r="M7" s="37">
        <v>4.7</v>
      </c>
      <c r="O7" s="42" t="s">
        <v>129</v>
      </c>
      <c r="P7" s="42" t="s">
        <v>130</v>
      </c>
      <c r="Q7" s="42" t="s">
        <v>131</v>
      </c>
      <c r="R7" s="42"/>
      <c r="S7" s="42"/>
      <c r="U7" s="66" t="s">
        <v>27</v>
      </c>
      <c r="V7" s="68" t="s">
        <v>28</v>
      </c>
      <c r="W7" s="65" t="s">
        <v>29</v>
      </c>
      <c r="X7" s="59">
        <v>43.1</v>
      </c>
    </row>
    <row r="8" spans="1:24" x14ac:dyDescent="0.3">
      <c r="A8" s="39" t="s">
        <v>132</v>
      </c>
      <c r="B8" s="37">
        <v>3.9E-2</v>
      </c>
      <c r="C8" s="37">
        <v>1.5E-6</v>
      </c>
      <c r="D8" s="37">
        <v>0.6</v>
      </c>
      <c r="E8" s="37">
        <v>1.9</v>
      </c>
      <c r="F8" s="37">
        <v>0.9</v>
      </c>
      <c r="G8" s="37">
        <v>0.5</v>
      </c>
      <c r="H8" s="37">
        <v>0.4</v>
      </c>
      <c r="I8" s="37">
        <v>0.9</v>
      </c>
      <c r="J8" s="37">
        <v>3.8</v>
      </c>
      <c r="K8" s="37">
        <v>0.9</v>
      </c>
      <c r="L8" s="37">
        <v>2.6</v>
      </c>
      <c r="M8" s="37">
        <v>6.4</v>
      </c>
      <c r="O8" s="42"/>
      <c r="P8" s="42"/>
      <c r="Q8" s="42"/>
      <c r="R8" s="42"/>
      <c r="S8" s="42"/>
      <c r="U8" s="66" t="s">
        <v>34</v>
      </c>
      <c r="V8" s="69"/>
      <c r="W8" s="57" t="s">
        <v>35</v>
      </c>
      <c r="X8" s="59">
        <v>54.5</v>
      </c>
    </row>
    <row r="9" spans="1:24" x14ac:dyDescent="0.3">
      <c r="A9" s="39" t="s">
        <v>133</v>
      </c>
      <c r="B9" s="37">
        <v>5.0999999999999997E-2</v>
      </c>
      <c r="C9" s="37">
        <v>1.5E-6</v>
      </c>
      <c r="D9" s="37">
        <v>0.8</v>
      </c>
      <c r="E9" s="37">
        <v>2.5</v>
      </c>
      <c r="F9" s="37">
        <v>1.2</v>
      </c>
      <c r="G9" s="37">
        <v>0.6</v>
      </c>
      <c r="H9" s="37">
        <v>0.5</v>
      </c>
      <c r="I9" s="37">
        <v>1.2</v>
      </c>
      <c r="J9" s="37">
        <v>5.4</v>
      </c>
      <c r="K9" s="37">
        <v>1.2</v>
      </c>
      <c r="L9" s="37">
        <v>3.4</v>
      </c>
      <c r="M9" s="37">
        <v>8.6</v>
      </c>
      <c r="O9" s="44" t="s">
        <v>134</v>
      </c>
      <c r="P9" s="42">
        <v>1</v>
      </c>
      <c r="Q9" s="42">
        <v>1</v>
      </c>
      <c r="R9" s="42"/>
      <c r="S9" s="42"/>
      <c r="U9" s="70" t="s">
        <v>39</v>
      </c>
      <c r="V9" s="69"/>
      <c r="W9" s="57" t="s">
        <v>40</v>
      </c>
      <c r="X9" s="59">
        <v>70.3</v>
      </c>
    </row>
    <row r="10" spans="1:24" x14ac:dyDescent="0.3">
      <c r="A10" s="40" t="s">
        <v>135</v>
      </c>
      <c r="B10" s="41">
        <v>7.2099999999999997E-2</v>
      </c>
      <c r="C10" s="41">
        <v>1.5E-6</v>
      </c>
      <c r="D10" s="37">
        <v>1.1000000000000001</v>
      </c>
      <c r="E10" s="37">
        <v>3.61</v>
      </c>
      <c r="F10" s="37">
        <v>1.76</v>
      </c>
      <c r="G10" s="37">
        <v>0.7</v>
      </c>
      <c r="H10" s="37">
        <v>0.76</v>
      </c>
      <c r="I10" s="37">
        <v>1.76</v>
      </c>
      <c r="J10" s="37">
        <v>7.85</v>
      </c>
      <c r="K10" s="37">
        <v>1.76</v>
      </c>
      <c r="L10" s="37">
        <v>5</v>
      </c>
      <c r="M10" s="37">
        <v>9</v>
      </c>
      <c r="O10" s="44" t="s">
        <v>136</v>
      </c>
      <c r="P10" s="42">
        <v>0.8</v>
      </c>
      <c r="Q10" s="42">
        <v>0.8</v>
      </c>
      <c r="R10" s="42"/>
      <c r="S10" s="42"/>
      <c r="U10" s="69"/>
      <c r="V10" s="69"/>
      <c r="W10" s="57" t="s">
        <v>46</v>
      </c>
      <c r="X10" s="59">
        <v>82.5</v>
      </c>
    </row>
    <row r="11" spans="1:24" x14ac:dyDescent="0.3">
      <c r="A11" s="40" t="s">
        <v>137</v>
      </c>
      <c r="B11" s="41">
        <v>8.4900000000000003E-2</v>
      </c>
      <c r="C11" s="41">
        <v>1.5E-6</v>
      </c>
      <c r="D11" s="37">
        <v>1.3</v>
      </c>
      <c r="E11" s="37">
        <v>4.72</v>
      </c>
      <c r="F11" s="37">
        <v>2.3199999999999998</v>
      </c>
      <c r="G11" s="37">
        <v>0.8</v>
      </c>
      <c r="H11" s="37">
        <v>1.02</v>
      </c>
      <c r="I11" s="37">
        <v>2.3199999999999998</v>
      </c>
      <c r="J11" s="37">
        <v>10.3</v>
      </c>
      <c r="K11" s="37">
        <v>2.3199999999999998</v>
      </c>
      <c r="L11" s="37">
        <v>6.6</v>
      </c>
      <c r="M11" s="37">
        <v>9.4</v>
      </c>
      <c r="O11" s="44" t="s">
        <v>138</v>
      </c>
      <c r="P11" s="42">
        <v>0.8</v>
      </c>
      <c r="Q11" s="42">
        <v>0.6</v>
      </c>
      <c r="R11" s="42"/>
      <c r="S11" s="42"/>
      <c r="U11" s="69"/>
      <c r="V11" s="69"/>
      <c r="W11" s="57" t="s">
        <v>47</v>
      </c>
      <c r="X11" s="59">
        <v>107.1</v>
      </c>
    </row>
    <row r="12" spans="1:24" x14ac:dyDescent="0.3">
      <c r="A12" s="40" t="s">
        <v>139</v>
      </c>
      <c r="B12" s="41">
        <v>0.104</v>
      </c>
      <c r="C12" s="41">
        <v>1.5E-6</v>
      </c>
      <c r="D12" s="37">
        <v>1.6</v>
      </c>
      <c r="E12" s="37">
        <v>5.83</v>
      </c>
      <c r="F12" s="37">
        <v>2.88</v>
      </c>
      <c r="G12" s="37">
        <v>0.9</v>
      </c>
      <c r="H12" s="37">
        <v>1.28</v>
      </c>
      <c r="I12" s="37">
        <v>2.88</v>
      </c>
      <c r="J12" s="37">
        <v>12.75</v>
      </c>
      <c r="K12" s="37">
        <v>2.88</v>
      </c>
      <c r="L12" s="37">
        <v>8.1</v>
      </c>
      <c r="M12" s="37">
        <v>9.8000000000000007</v>
      </c>
      <c r="O12" s="44" t="s">
        <v>140</v>
      </c>
      <c r="P12" s="42">
        <v>0.8</v>
      </c>
      <c r="Q12" s="42">
        <v>0.5</v>
      </c>
      <c r="R12" s="42"/>
      <c r="S12" s="42"/>
      <c r="U12" s="69"/>
      <c r="V12" s="69"/>
      <c r="W12" s="57" t="s">
        <v>50</v>
      </c>
      <c r="X12" s="59">
        <v>131.69999999999999</v>
      </c>
    </row>
    <row r="13" spans="1:24" x14ac:dyDescent="0.3">
      <c r="A13" s="39" t="s">
        <v>141</v>
      </c>
      <c r="B13" s="37">
        <v>4.4000000000000003E-3</v>
      </c>
      <c r="C13" s="37">
        <v>1.5E-6</v>
      </c>
      <c r="D13" s="93">
        <v>0.05</v>
      </c>
      <c r="E13" s="93">
        <v>0.15</v>
      </c>
      <c r="F13" s="93">
        <v>0.1</v>
      </c>
      <c r="G13" s="93">
        <v>5.8</v>
      </c>
      <c r="H13" s="93">
        <v>4.4000000000000004</v>
      </c>
      <c r="I13" s="93">
        <v>0.1</v>
      </c>
      <c r="J13" s="93">
        <v>0.5</v>
      </c>
      <c r="K13" s="93">
        <v>0.1</v>
      </c>
      <c r="L13" s="93">
        <v>0.4</v>
      </c>
      <c r="M13" s="93">
        <v>0.9</v>
      </c>
      <c r="O13" s="44" t="s">
        <v>142</v>
      </c>
      <c r="P13" s="42">
        <v>0.8</v>
      </c>
      <c r="Q13" s="42">
        <v>0.4</v>
      </c>
      <c r="R13" s="42"/>
      <c r="S13" s="42"/>
      <c r="U13" s="69"/>
      <c r="V13" s="69"/>
      <c r="W13" s="57" t="s">
        <v>52</v>
      </c>
      <c r="X13" s="59">
        <v>150</v>
      </c>
    </row>
    <row r="14" spans="1:24" x14ac:dyDescent="0.3">
      <c r="A14" s="39" t="s">
        <v>143</v>
      </c>
      <c r="B14" s="37">
        <v>6.4000000000000003E-3</v>
      </c>
      <c r="C14" s="37">
        <v>1.5E-6</v>
      </c>
      <c r="D14" s="94">
        <v>0.05</v>
      </c>
      <c r="E14" s="94">
        <v>0.2</v>
      </c>
      <c r="F14" s="94">
        <v>0.1</v>
      </c>
      <c r="G14" s="94">
        <v>0.1</v>
      </c>
      <c r="H14" s="94">
        <v>0.1</v>
      </c>
      <c r="I14" s="94">
        <v>0.1</v>
      </c>
      <c r="J14" s="94">
        <v>0.5</v>
      </c>
      <c r="K14" s="94">
        <v>0.1</v>
      </c>
      <c r="L14" s="94">
        <v>0.4</v>
      </c>
      <c r="M14" s="94">
        <v>0.9</v>
      </c>
      <c r="O14" s="44" t="s">
        <v>144</v>
      </c>
      <c r="P14" s="42">
        <v>0.8</v>
      </c>
      <c r="Q14" s="42">
        <v>0.3</v>
      </c>
      <c r="R14" s="42"/>
      <c r="S14" s="42"/>
      <c r="U14" s="71"/>
      <c r="V14" s="71"/>
      <c r="W14" s="60" t="s">
        <v>53</v>
      </c>
      <c r="X14" s="61">
        <v>206.5</v>
      </c>
    </row>
    <row r="15" spans="1:24" x14ac:dyDescent="0.3">
      <c r="A15" s="39" t="s">
        <v>145</v>
      </c>
      <c r="B15" s="37">
        <v>8.3999999999999995E-3</v>
      </c>
      <c r="C15" s="37">
        <v>1.5E-6</v>
      </c>
      <c r="D15" s="93">
        <v>0.09</v>
      </c>
      <c r="E15" s="93">
        <v>0.25</v>
      </c>
      <c r="F15" s="93">
        <v>0.1</v>
      </c>
      <c r="G15" s="93">
        <v>0.1</v>
      </c>
      <c r="H15" s="93">
        <v>0.1</v>
      </c>
      <c r="I15" s="93">
        <v>0.1</v>
      </c>
      <c r="J15" s="93">
        <v>0.5</v>
      </c>
      <c r="K15" s="93">
        <v>0.1</v>
      </c>
      <c r="L15" s="93">
        <v>0.4</v>
      </c>
      <c r="M15" s="93">
        <v>0.9</v>
      </c>
    </row>
    <row r="16" spans="1:24" x14ac:dyDescent="0.3">
      <c r="A16" s="39" t="s">
        <v>146</v>
      </c>
      <c r="B16" s="37">
        <v>0.01</v>
      </c>
      <c r="C16" s="37">
        <v>1.5E-6</v>
      </c>
      <c r="D16" s="94">
        <v>0.1</v>
      </c>
      <c r="E16" s="94">
        <v>0.3</v>
      </c>
      <c r="F16" s="94">
        <v>0.1</v>
      </c>
      <c r="G16" s="94">
        <v>0.1</v>
      </c>
      <c r="H16" s="94">
        <v>0.1</v>
      </c>
      <c r="I16" s="94">
        <v>0.1</v>
      </c>
      <c r="J16" s="94">
        <v>0.5</v>
      </c>
      <c r="K16" s="94">
        <v>0.1</v>
      </c>
      <c r="L16" s="94">
        <v>0.4</v>
      </c>
      <c r="M16" s="94">
        <v>0.9</v>
      </c>
    </row>
    <row r="17" spans="1:20" x14ac:dyDescent="0.3">
      <c r="A17" s="39" t="s">
        <v>147</v>
      </c>
      <c r="B17" s="37">
        <v>1.2999999999999999E-2</v>
      </c>
      <c r="C17" s="37">
        <v>1.5E-6</v>
      </c>
      <c r="D17" s="93">
        <v>0.16</v>
      </c>
      <c r="E17" s="93">
        <v>0.4</v>
      </c>
      <c r="F17" s="93">
        <v>0.16</v>
      </c>
      <c r="G17" s="93">
        <v>0.1</v>
      </c>
      <c r="H17" s="93">
        <v>0.1</v>
      </c>
      <c r="I17" s="93">
        <v>0.16</v>
      </c>
      <c r="J17" s="93">
        <v>0.8</v>
      </c>
      <c r="K17" s="93">
        <v>0.16</v>
      </c>
      <c r="L17" s="93">
        <v>0.52</v>
      </c>
      <c r="M17" s="93">
        <v>1.3</v>
      </c>
      <c r="O17" s="49" t="s">
        <v>148</v>
      </c>
      <c r="P17" s="49" t="s">
        <v>149</v>
      </c>
      <c r="Q17" s="65"/>
      <c r="R17" s="65"/>
    </row>
    <row r="18" spans="1:20" x14ac:dyDescent="0.3">
      <c r="A18" s="39" t="s">
        <v>150</v>
      </c>
      <c r="B18" s="37">
        <v>1.6E-2</v>
      </c>
      <c r="C18" s="37">
        <v>1.5E-6</v>
      </c>
      <c r="D18" s="94">
        <v>0.2</v>
      </c>
      <c r="E18" s="94">
        <v>0.5</v>
      </c>
      <c r="F18" s="94">
        <v>0.2</v>
      </c>
      <c r="G18" s="94">
        <v>0.1</v>
      </c>
      <c r="H18" s="94">
        <v>0.1</v>
      </c>
      <c r="I18" s="94">
        <v>0.2</v>
      </c>
      <c r="J18" s="94">
        <v>1.06</v>
      </c>
      <c r="K18" s="94">
        <v>0.2</v>
      </c>
      <c r="L18" s="94">
        <v>0.64</v>
      </c>
      <c r="M18" s="94">
        <v>1.7</v>
      </c>
      <c r="O18" s="47" t="s">
        <v>55</v>
      </c>
      <c r="P18" s="47"/>
      <c r="Q18" s="65"/>
      <c r="R18" s="65"/>
    </row>
    <row r="19" spans="1:20" x14ac:dyDescent="0.3">
      <c r="A19" s="39" t="s">
        <v>151</v>
      </c>
      <c r="B19" s="37">
        <v>0.02</v>
      </c>
      <c r="C19" s="37">
        <v>1.5E-6</v>
      </c>
      <c r="D19" s="93">
        <v>0.2</v>
      </c>
      <c r="E19" s="93">
        <v>0.6</v>
      </c>
      <c r="F19" s="93">
        <v>0.3</v>
      </c>
      <c r="G19" s="93">
        <v>0.2</v>
      </c>
      <c r="H19" s="93">
        <v>0.2</v>
      </c>
      <c r="I19" s="93">
        <v>0.3</v>
      </c>
      <c r="J19" s="93">
        <v>1.3</v>
      </c>
      <c r="K19" s="93">
        <v>0.3</v>
      </c>
      <c r="L19" s="93">
        <v>0.8</v>
      </c>
      <c r="M19" s="93">
        <v>2.1</v>
      </c>
      <c r="O19" s="53">
        <v>35</v>
      </c>
      <c r="P19" s="53">
        <v>2</v>
      </c>
      <c r="Q19" s="65"/>
      <c r="R19" s="65"/>
    </row>
    <row r="20" spans="1:20" x14ac:dyDescent="0.3">
      <c r="A20" s="39" t="s">
        <v>152</v>
      </c>
      <c r="B20" s="37">
        <v>2.5600000000000001E-2</v>
      </c>
      <c r="C20" s="37">
        <v>1.5E-6</v>
      </c>
      <c r="D20" s="94">
        <v>0.3</v>
      </c>
      <c r="E20" s="94">
        <v>1</v>
      </c>
      <c r="F20" s="94">
        <v>0.5</v>
      </c>
      <c r="G20" s="94">
        <v>0.3</v>
      </c>
      <c r="H20" s="94">
        <v>0.2</v>
      </c>
      <c r="I20" s="94">
        <v>0.5</v>
      </c>
      <c r="J20" s="94">
        <v>2</v>
      </c>
      <c r="K20" s="94">
        <v>0.5</v>
      </c>
      <c r="L20" s="94">
        <v>1.35</v>
      </c>
      <c r="M20" s="94">
        <v>3.5</v>
      </c>
      <c r="O20" s="53">
        <v>100</v>
      </c>
      <c r="P20" s="53">
        <v>2</v>
      </c>
      <c r="Q20" s="65"/>
      <c r="R20" s="65"/>
    </row>
    <row r="21" spans="1:20" x14ac:dyDescent="0.3">
      <c r="A21" s="39" t="s">
        <v>153</v>
      </c>
      <c r="B21" s="37">
        <v>3.2000000000000001E-2</v>
      </c>
      <c r="C21" s="37">
        <v>1.5E-6</v>
      </c>
      <c r="D21" s="93">
        <v>0.5</v>
      </c>
      <c r="E21" s="93">
        <v>1.4</v>
      </c>
      <c r="F21" s="93">
        <v>0.7</v>
      </c>
      <c r="G21" s="93">
        <v>0.4</v>
      </c>
      <c r="H21" s="93">
        <v>0.3</v>
      </c>
      <c r="I21" s="93">
        <v>0.7</v>
      </c>
      <c r="J21" s="93">
        <v>2.8</v>
      </c>
      <c r="K21" s="93">
        <v>0.7</v>
      </c>
      <c r="L21" s="93">
        <v>1.9</v>
      </c>
      <c r="M21" s="93">
        <v>4.7</v>
      </c>
      <c r="O21" s="53" t="s">
        <v>154</v>
      </c>
      <c r="P21" s="53">
        <v>400</v>
      </c>
      <c r="Q21" s="65"/>
      <c r="R21" s="65"/>
    </row>
    <row r="22" spans="1:20" x14ac:dyDescent="0.3">
      <c r="A22" s="39" t="s">
        <v>155</v>
      </c>
      <c r="B22" s="37">
        <v>3.9E-2</v>
      </c>
      <c r="C22" s="37">
        <v>1.5E-6</v>
      </c>
      <c r="D22" s="94">
        <v>0.6</v>
      </c>
      <c r="E22" s="94">
        <v>1.9</v>
      </c>
      <c r="F22" s="94">
        <v>0.9</v>
      </c>
      <c r="G22" s="94">
        <v>0.5</v>
      </c>
      <c r="H22" s="94">
        <v>0.4</v>
      </c>
      <c r="I22" s="94">
        <v>0.9</v>
      </c>
      <c r="J22" s="94">
        <v>3.8</v>
      </c>
      <c r="K22" s="94">
        <v>0.9</v>
      </c>
      <c r="L22" s="94">
        <v>2.6</v>
      </c>
      <c r="M22" s="94">
        <v>6.4</v>
      </c>
      <c r="O22" s="45"/>
      <c r="P22" s="45"/>
    </row>
    <row r="23" spans="1:20" ht="17.399999999999999" x14ac:dyDescent="0.4">
      <c r="A23" s="39" t="s">
        <v>156</v>
      </c>
      <c r="B23" s="37">
        <v>5.1000000000000004E-2</v>
      </c>
      <c r="C23" s="37">
        <v>1.5E-6</v>
      </c>
      <c r="D23" s="93">
        <v>0.8</v>
      </c>
      <c r="E23" s="93">
        <v>2.5</v>
      </c>
      <c r="F23" s="93">
        <v>1.2</v>
      </c>
      <c r="G23" s="93">
        <v>0.62</v>
      </c>
      <c r="H23" s="93">
        <v>0.51</v>
      </c>
      <c r="I23" s="93">
        <v>1.2</v>
      </c>
      <c r="J23" s="93">
        <v>5.0999999999999996</v>
      </c>
      <c r="K23" s="93">
        <v>1.2</v>
      </c>
      <c r="L23" s="93">
        <v>3.4</v>
      </c>
      <c r="M23" s="93">
        <v>8.6</v>
      </c>
      <c r="O23" s="47"/>
      <c r="P23" s="48" t="s">
        <v>119</v>
      </c>
      <c r="Q23" s="48" t="s">
        <v>61</v>
      </c>
      <c r="R23" s="49" t="s">
        <v>62</v>
      </c>
      <c r="S23" s="105" t="s">
        <v>157</v>
      </c>
      <c r="T23" s="105"/>
    </row>
    <row r="24" spans="1:20" ht="16.8" x14ac:dyDescent="0.35">
      <c r="A24" s="39" t="s">
        <v>158</v>
      </c>
      <c r="B24" s="37">
        <v>1.12E-2</v>
      </c>
      <c r="C24" s="37">
        <v>1.0000000000000001E-5</v>
      </c>
      <c r="D24" s="37">
        <v>0.13</v>
      </c>
      <c r="E24" s="37">
        <v>0.35</v>
      </c>
      <c r="F24" s="37">
        <v>0.13</v>
      </c>
      <c r="G24" s="37">
        <v>0.1</v>
      </c>
      <c r="H24" s="37">
        <v>0.1</v>
      </c>
      <c r="I24" s="37">
        <v>0.13</v>
      </c>
      <c r="J24" s="37">
        <v>0.65</v>
      </c>
      <c r="K24" s="37">
        <v>0.13</v>
      </c>
      <c r="L24" s="37">
        <v>0.45</v>
      </c>
      <c r="M24" s="37">
        <v>1.1000000000000001</v>
      </c>
      <c r="O24" s="49" t="s">
        <v>106</v>
      </c>
      <c r="P24" s="72" t="s">
        <v>67</v>
      </c>
      <c r="Q24" s="72" t="s">
        <v>68</v>
      </c>
      <c r="R24" s="72" t="s">
        <v>159</v>
      </c>
      <c r="S24" s="104" t="s">
        <v>160</v>
      </c>
      <c r="T24" s="104"/>
    </row>
    <row r="25" spans="1:20" x14ac:dyDescent="0.3">
      <c r="A25" s="39" t="s">
        <v>161</v>
      </c>
      <c r="B25" s="37">
        <v>1.9400000000000001E-2</v>
      </c>
      <c r="C25" s="37">
        <v>1.0000000000000001E-5</v>
      </c>
      <c r="D25" s="37">
        <v>0.2</v>
      </c>
      <c r="E25" s="37">
        <v>0.6</v>
      </c>
      <c r="F25" s="37">
        <v>0.3</v>
      </c>
      <c r="G25" s="37">
        <v>0.2</v>
      </c>
      <c r="H25" s="37">
        <v>0.2</v>
      </c>
      <c r="I25" s="37">
        <v>0.3</v>
      </c>
      <c r="J25" s="37">
        <v>1.3</v>
      </c>
      <c r="K25" s="37">
        <v>0.3</v>
      </c>
      <c r="L25" s="37">
        <v>0.78</v>
      </c>
      <c r="M25" s="37">
        <v>2.0499999999999998</v>
      </c>
      <c r="O25" s="49" t="s">
        <v>122</v>
      </c>
      <c r="P25" s="48">
        <v>6.31</v>
      </c>
      <c r="Q25" s="48">
        <v>1.03</v>
      </c>
      <c r="R25" s="48">
        <f>13.9*10^-6</f>
        <v>1.3899999999999999E-5</v>
      </c>
      <c r="S25" s="54">
        <v>-0.02</v>
      </c>
      <c r="T25" s="54"/>
    </row>
    <row r="26" spans="1:20" x14ac:dyDescent="0.3">
      <c r="A26" s="39" t="s">
        <v>162</v>
      </c>
      <c r="B26" s="37">
        <v>2.52E-2</v>
      </c>
      <c r="C26" s="37">
        <v>1.0000000000000001E-5</v>
      </c>
      <c r="D26" s="37">
        <v>0.3</v>
      </c>
      <c r="E26" s="37">
        <v>1</v>
      </c>
      <c r="F26" s="37">
        <v>0.5</v>
      </c>
      <c r="G26" s="37">
        <v>0.3</v>
      </c>
      <c r="H26" s="37">
        <v>0.2</v>
      </c>
      <c r="I26" s="37">
        <v>0.5</v>
      </c>
      <c r="J26" s="37">
        <v>2</v>
      </c>
      <c r="K26" s="37">
        <v>0.5</v>
      </c>
      <c r="L26" s="37">
        <v>1.3</v>
      </c>
      <c r="M26" s="37">
        <v>3.4</v>
      </c>
      <c r="O26" s="49" t="s">
        <v>126</v>
      </c>
      <c r="P26" s="48">
        <v>29</v>
      </c>
      <c r="Q26" s="48">
        <v>2.1</v>
      </c>
      <c r="R26" s="48">
        <f>8.1*10^-6</f>
        <v>8.0999999999999987E-6</v>
      </c>
      <c r="S26" s="54">
        <v>0.13</v>
      </c>
      <c r="T26" s="54"/>
    </row>
    <row r="27" spans="1:20" x14ac:dyDescent="0.3">
      <c r="A27" s="39" t="s">
        <v>163</v>
      </c>
      <c r="B27" s="37">
        <v>3.1399999999999997E-2</v>
      </c>
      <c r="C27" s="37">
        <v>1.0000000000000001E-5</v>
      </c>
      <c r="D27" s="37">
        <v>0.5</v>
      </c>
      <c r="E27" s="37">
        <v>1.4</v>
      </c>
      <c r="F27" s="37">
        <v>0.7</v>
      </c>
      <c r="G27" s="37">
        <v>0.4</v>
      </c>
      <c r="H27" s="37">
        <v>0.3</v>
      </c>
      <c r="I27" s="37">
        <v>0.7</v>
      </c>
      <c r="J27" s="37">
        <v>2.8</v>
      </c>
      <c r="K27" s="37">
        <v>0.7</v>
      </c>
      <c r="L27" s="37">
        <v>1.9</v>
      </c>
      <c r="M27" s="37">
        <v>4.6500000000000004</v>
      </c>
      <c r="O27" s="49" t="s">
        <v>124</v>
      </c>
      <c r="P27" s="48">
        <v>11</v>
      </c>
      <c r="Q27" s="48">
        <v>0.82599999999999996</v>
      </c>
      <c r="R27" s="48">
        <f>10.64*10^-6</f>
        <v>1.064E-5</v>
      </c>
      <c r="S27" s="54">
        <v>-4.5999999999999999E-2</v>
      </c>
      <c r="T27" s="54"/>
    </row>
    <row r="28" spans="1:20" x14ac:dyDescent="0.3">
      <c r="A28" s="39" t="s">
        <v>164</v>
      </c>
      <c r="B28" s="37">
        <v>3.9399999999999998E-2</v>
      </c>
      <c r="C28" s="37">
        <v>1.0000000000000001E-5</v>
      </c>
      <c r="D28" s="37">
        <v>0.6</v>
      </c>
      <c r="E28" s="37">
        <v>1.9</v>
      </c>
      <c r="F28" s="37">
        <v>0.9</v>
      </c>
      <c r="G28" s="37">
        <v>0.5</v>
      </c>
      <c r="H28" s="37">
        <v>0.4</v>
      </c>
      <c r="I28" s="37">
        <v>0.9</v>
      </c>
      <c r="J28" s="37">
        <v>3.8</v>
      </c>
      <c r="K28" s="37">
        <v>0.9</v>
      </c>
      <c r="L28" s="37">
        <v>2.6</v>
      </c>
      <c r="M28" s="37">
        <v>6.5</v>
      </c>
      <c r="O28" s="49" t="s">
        <v>165</v>
      </c>
      <c r="P28" s="48">
        <v>7.19</v>
      </c>
      <c r="Q28" s="48">
        <v>1.1579999999999999</v>
      </c>
      <c r="R28" s="48">
        <f>10.8*10^-6</f>
        <v>1.08E-5</v>
      </c>
      <c r="S28" s="47">
        <v>-1.2E-2</v>
      </c>
      <c r="T28" s="47"/>
    </row>
    <row r="29" spans="1:20" x14ac:dyDescent="0.3">
      <c r="A29" s="39" t="s">
        <v>166</v>
      </c>
      <c r="B29" s="37">
        <v>4.9799999999999997E-2</v>
      </c>
      <c r="C29" s="37">
        <v>1.0000000000000001E-5</v>
      </c>
      <c r="D29" s="37">
        <v>0.8</v>
      </c>
      <c r="E29" s="37">
        <v>2.5</v>
      </c>
      <c r="F29" s="37">
        <v>1.2</v>
      </c>
      <c r="G29" s="37">
        <v>0.7</v>
      </c>
      <c r="H29" s="37">
        <v>0.5</v>
      </c>
      <c r="I29" s="37">
        <v>1.2</v>
      </c>
      <c r="J29" s="37">
        <v>5</v>
      </c>
      <c r="K29" s="37">
        <v>1.2</v>
      </c>
      <c r="L29" s="37">
        <v>3.4</v>
      </c>
      <c r="M29" s="37">
        <v>8.4</v>
      </c>
      <c r="O29" s="49" t="s">
        <v>59</v>
      </c>
      <c r="P29" s="48">
        <v>11</v>
      </c>
      <c r="Q29" s="48">
        <v>0.72199999999999998</v>
      </c>
      <c r="R29" s="48">
        <f>10.9*10^-6</f>
        <v>1.0900000000000001E-5</v>
      </c>
      <c r="S29" s="47">
        <v>5.6000000000000001E-2</v>
      </c>
      <c r="T29" s="47"/>
    </row>
    <row r="30" spans="1:20" x14ac:dyDescent="0.3">
      <c r="A30" s="39" t="s">
        <v>167</v>
      </c>
      <c r="B30" s="37">
        <v>5.96E-2</v>
      </c>
      <c r="C30" s="37">
        <v>1.0000000000000001E-5</v>
      </c>
      <c r="D30" s="37">
        <v>0.9</v>
      </c>
      <c r="E30" s="37">
        <v>3.3</v>
      </c>
      <c r="F30" s="37">
        <v>1.6</v>
      </c>
      <c r="G30" s="37">
        <v>0.9</v>
      </c>
      <c r="H30" s="37">
        <v>0.7</v>
      </c>
      <c r="I30" s="37">
        <v>1.6</v>
      </c>
      <c r="J30" s="37">
        <v>6</v>
      </c>
      <c r="K30" s="37">
        <v>1.6</v>
      </c>
      <c r="L30" s="37">
        <v>4.2</v>
      </c>
      <c r="M30" s="37">
        <v>10.5</v>
      </c>
      <c r="O30" s="49" t="s">
        <v>168</v>
      </c>
      <c r="P30" s="48">
        <v>10.61</v>
      </c>
      <c r="Q30" s="48">
        <v>0.78879999999999995</v>
      </c>
      <c r="R30" s="48">
        <v>1.014974E-5</v>
      </c>
      <c r="S30" s="49">
        <v>-5.7000000000000002E-2</v>
      </c>
      <c r="T30" s="47"/>
    </row>
    <row r="31" spans="1:20" x14ac:dyDescent="0.3">
      <c r="A31" s="39" t="s">
        <v>169</v>
      </c>
      <c r="B31" s="37">
        <v>7.0999999999999994E-2</v>
      </c>
      <c r="C31" s="37">
        <v>1.0000000000000001E-5</v>
      </c>
      <c r="D31" s="37">
        <v>1.1000000000000001</v>
      </c>
      <c r="E31" s="37">
        <v>4</v>
      </c>
      <c r="F31" s="37">
        <v>2.1</v>
      </c>
      <c r="G31" s="37">
        <v>1.2</v>
      </c>
      <c r="H31" s="37">
        <v>1</v>
      </c>
      <c r="I31" s="37">
        <v>2.1</v>
      </c>
      <c r="J31" s="37">
        <v>7.1</v>
      </c>
      <c r="K31" s="37">
        <v>2.1</v>
      </c>
      <c r="L31" s="37">
        <v>5</v>
      </c>
      <c r="M31" s="37">
        <v>12.5</v>
      </c>
      <c r="O31" s="49" t="s">
        <v>170</v>
      </c>
      <c r="P31" s="48">
        <v>3.2</v>
      </c>
      <c r="Q31" s="48">
        <v>8.3760000000000001E-2</v>
      </c>
      <c r="R31" s="48">
        <v>8.3500000000000005E-7</v>
      </c>
      <c r="S31" s="49">
        <v>-0.2747</v>
      </c>
      <c r="T31" s="47"/>
    </row>
    <row r="32" spans="1:20" x14ac:dyDescent="0.3">
      <c r="A32" s="40" t="s">
        <v>171</v>
      </c>
      <c r="B32" s="41">
        <v>6.1999999999999998E-3</v>
      </c>
      <c r="C32" s="41">
        <v>5.0000000000000002E-5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O32" s="42"/>
      <c r="P32" s="43"/>
      <c r="S32" s="42"/>
    </row>
    <row r="33" spans="1:19" x14ac:dyDescent="0.3">
      <c r="A33" s="40" t="s">
        <v>172</v>
      </c>
      <c r="B33" s="41">
        <v>8.8999999999999999E-3</v>
      </c>
      <c r="C33" s="41">
        <v>5.0000000000000002E-5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S33" s="42"/>
    </row>
    <row r="34" spans="1:19" x14ac:dyDescent="0.3">
      <c r="A34" s="40" t="s">
        <v>173</v>
      </c>
      <c r="B34" s="41">
        <v>1.2500000000000001E-2</v>
      </c>
      <c r="C34" s="41">
        <v>5.0000000000000002E-5</v>
      </c>
      <c r="D34" s="37">
        <v>0.15</v>
      </c>
      <c r="E34" s="37">
        <v>0.4</v>
      </c>
      <c r="F34" s="37">
        <v>0.15</v>
      </c>
      <c r="G34" s="37">
        <v>0.1</v>
      </c>
      <c r="H34" s="37">
        <v>0.1</v>
      </c>
      <c r="I34" s="37">
        <v>0.15</v>
      </c>
      <c r="J34" s="37">
        <v>0.75</v>
      </c>
      <c r="K34" s="37">
        <v>0.15</v>
      </c>
      <c r="L34" s="37">
        <v>0.5</v>
      </c>
      <c r="M34" s="37">
        <v>1.25</v>
      </c>
    </row>
    <row r="35" spans="1:19" x14ac:dyDescent="0.3">
      <c r="A35" s="40" t="s">
        <v>174</v>
      </c>
      <c r="B35" s="41">
        <v>1.6199999999999999E-2</v>
      </c>
      <c r="C35" s="41">
        <v>5.0000000000000002E-5</v>
      </c>
      <c r="D35" s="37">
        <v>0.2</v>
      </c>
      <c r="E35" s="37">
        <v>0.53</v>
      </c>
      <c r="F35" s="37">
        <v>0.2</v>
      </c>
      <c r="G35" s="37">
        <v>0.13</v>
      </c>
      <c r="H35" s="37">
        <v>0.13</v>
      </c>
      <c r="I35" s="37">
        <v>0.2</v>
      </c>
      <c r="J35" s="37">
        <v>1.07</v>
      </c>
      <c r="K35" s="37">
        <v>0.2</v>
      </c>
      <c r="L35" s="37">
        <v>0.66</v>
      </c>
      <c r="M35" s="37">
        <v>1.72</v>
      </c>
    </row>
    <row r="36" spans="1:19" x14ac:dyDescent="0.3">
      <c r="A36" s="40" t="s">
        <v>175</v>
      </c>
      <c r="B36" s="41">
        <v>2.18E-2</v>
      </c>
      <c r="C36" s="41">
        <v>5.0000000000000002E-5</v>
      </c>
      <c r="D36" s="37">
        <v>0.23</v>
      </c>
      <c r="E36" s="37">
        <v>0.75</v>
      </c>
      <c r="F36" s="37">
        <v>0.4</v>
      </c>
      <c r="G36" s="37">
        <v>0.23</v>
      </c>
      <c r="H36" s="37">
        <v>0.2</v>
      </c>
      <c r="I36" s="37">
        <v>0.4</v>
      </c>
      <c r="J36" s="37">
        <v>1.6</v>
      </c>
      <c r="K36" s="37">
        <v>0.4</v>
      </c>
      <c r="L36" s="37">
        <v>1.08</v>
      </c>
      <c r="M36" s="37">
        <v>2.6</v>
      </c>
    </row>
    <row r="37" spans="1:19" x14ac:dyDescent="0.3">
      <c r="A37" s="40" t="s">
        <v>176</v>
      </c>
      <c r="B37" s="41">
        <v>2.7199999999999998E-2</v>
      </c>
      <c r="C37" s="41">
        <v>5.0000000000000002E-5</v>
      </c>
      <c r="D37" s="37">
        <v>0.4</v>
      </c>
      <c r="E37" s="37">
        <v>1.1499999999999999</v>
      </c>
      <c r="F37" s="37">
        <v>0.56999999999999995</v>
      </c>
      <c r="G37" s="37">
        <v>0.34</v>
      </c>
      <c r="H37" s="37">
        <v>0.24</v>
      </c>
      <c r="I37" s="37">
        <v>0.56999999999999995</v>
      </c>
      <c r="J37" s="37">
        <v>2.2999999999999998</v>
      </c>
      <c r="K37" s="37">
        <v>0.56999999999999995</v>
      </c>
      <c r="L37" s="37">
        <v>1.45</v>
      </c>
      <c r="M37" s="37">
        <v>3.8</v>
      </c>
    </row>
    <row r="38" spans="1:19" x14ac:dyDescent="0.3">
      <c r="A38" s="40" t="s">
        <v>177</v>
      </c>
      <c r="B38" s="37">
        <v>3.5999999999999997E-2</v>
      </c>
      <c r="C38" s="37">
        <v>5.0000000000000002E-5</v>
      </c>
      <c r="D38" s="37">
        <v>0.55000000000000004</v>
      </c>
      <c r="E38" s="37">
        <v>1.65</v>
      </c>
      <c r="F38" s="37">
        <v>0.8</v>
      </c>
      <c r="G38" s="37">
        <v>0.45</v>
      </c>
      <c r="H38" s="37">
        <v>0.35</v>
      </c>
      <c r="I38" s="37">
        <v>0.8</v>
      </c>
      <c r="J38" s="37">
        <v>3.3</v>
      </c>
      <c r="K38" s="37">
        <v>0.8</v>
      </c>
      <c r="L38" s="37">
        <v>2.25</v>
      </c>
      <c r="M38" s="37">
        <v>5.6</v>
      </c>
    </row>
    <row r="39" spans="1:19" x14ac:dyDescent="0.3">
      <c r="A39" s="40" t="s">
        <v>178</v>
      </c>
      <c r="B39" s="37">
        <v>4.1799999999999997E-2</v>
      </c>
      <c r="C39" s="37">
        <v>5.0000000000000002E-5</v>
      </c>
      <c r="D39" s="37">
        <v>0.65</v>
      </c>
      <c r="E39" s="37">
        <v>2</v>
      </c>
      <c r="F39" s="37">
        <v>0.98</v>
      </c>
      <c r="G39" s="37">
        <v>0.54</v>
      </c>
      <c r="H39" s="37">
        <v>0.42</v>
      </c>
      <c r="I39" s="37">
        <v>0.98</v>
      </c>
      <c r="J39" s="37">
        <v>4.05</v>
      </c>
      <c r="K39" s="37">
        <v>0.98</v>
      </c>
      <c r="L39" s="37">
        <v>2.85</v>
      </c>
      <c r="M39" s="37">
        <v>6.85</v>
      </c>
    </row>
    <row r="40" spans="1:19" x14ac:dyDescent="0.3">
      <c r="A40" s="40" t="s">
        <v>179</v>
      </c>
      <c r="B40" s="37">
        <v>5.2999999999999999E-2</v>
      </c>
      <c r="C40" s="37">
        <v>5.0000000000000002E-5</v>
      </c>
      <c r="D40" s="37">
        <v>0.85</v>
      </c>
      <c r="E40" s="37">
        <v>2.6</v>
      </c>
      <c r="F40" s="37">
        <v>1.3</v>
      </c>
      <c r="G40" s="37">
        <v>0.76</v>
      </c>
      <c r="H40" s="37">
        <v>0.56000000000000005</v>
      </c>
      <c r="I40" s="37">
        <v>1.3</v>
      </c>
      <c r="J40" s="37">
        <v>5.3</v>
      </c>
      <c r="K40" s="37">
        <v>1.3</v>
      </c>
      <c r="L40" s="37">
        <v>3.6</v>
      </c>
      <c r="M40" s="37">
        <v>9</v>
      </c>
    </row>
    <row r="41" spans="1:19" x14ac:dyDescent="0.3">
      <c r="A41" s="40" t="s">
        <v>180</v>
      </c>
      <c r="B41" s="37">
        <v>6.8199999999999997E-2</v>
      </c>
      <c r="C41" s="37">
        <v>5.0000000000000002E-5</v>
      </c>
      <c r="D41" s="37">
        <v>1</v>
      </c>
      <c r="E41" s="37">
        <v>3.9</v>
      </c>
      <c r="F41" s="37">
        <v>2</v>
      </c>
      <c r="G41" s="37">
        <v>1.25</v>
      </c>
      <c r="H41" s="37">
        <v>0.95</v>
      </c>
      <c r="I41" s="37">
        <v>2</v>
      </c>
      <c r="J41" s="37">
        <v>6.8</v>
      </c>
      <c r="K41" s="37">
        <v>2</v>
      </c>
      <c r="L41" s="37">
        <v>4.8499999999999996</v>
      </c>
      <c r="M41" s="37">
        <v>12</v>
      </c>
    </row>
    <row r="42" spans="1:19" x14ac:dyDescent="0.3">
      <c r="A42" s="40" t="s">
        <v>181</v>
      </c>
      <c r="B42" s="37">
        <v>8.0500000000000002E-2</v>
      </c>
      <c r="C42" s="37">
        <v>5.0000000000000002E-5</v>
      </c>
      <c r="D42" s="37">
        <v>1.2</v>
      </c>
      <c r="E42" s="37">
        <v>4.8</v>
      </c>
      <c r="F42" s="37">
        <v>2.7</v>
      </c>
      <c r="G42" s="37">
        <v>1.7</v>
      </c>
      <c r="H42" s="37">
        <v>1.4</v>
      </c>
      <c r="I42" s="37">
        <v>2.7</v>
      </c>
      <c r="J42" s="37">
        <v>8.1</v>
      </c>
      <c r="K42" s="37">
        <v>2.7</v>
      </c>
      <c r="L42" s="37">
        <v>5.8</v>
      </c>
      <c r="M42" s="37">
        <v>14.5</v>
      </c>
    </row>
    <row r="43" spans="1:19" x14ac:dyDescent="0.3">
      <c r="A43" s="40" t="s">
        <v>182</v>
      </c>
      <c r="B43" s="41">
        <v>0.105</v>
      </c>
      <c r="C43" s="41">
        <v>5.0000000000000002E-5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</row>
    <row r="44" spans="1:19" x14ac:dyDescent="0.3">
      <c r="A44" s="40" t="s">
        <v>183</v>
      </c>
      <c r="B44" s="41">
        <v>0.13</v>
      </c>
      <c r="C44" s="41">
        <v>5.0000000000000002E-5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</row>
    <row r="45" spans="1:19" x14ac:dyDescent="0.3">
      <c r="A45" s="40" t="s">
        <v>184</v>
      </c>
      <c r="B45" s="41">
        <v>0.1555</v>
      </c>
      <c r="C45" s="41">
        <v>5.0000000000000002E-5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1:19" x14ac:dyDescent="0.3">
      <c r="A46" s="40" t="s">
        <v>185</v>
      </c>
      <c r="B46" s="41">
        <v>1.4999999999999999E-2</v>
      </c>
      <c r="C46" s="37">
        <v>1.5E-6</v>
      </c>
    </row>
    <row r="47" spans="1:19" x14ac:dyDescent="0.3">
      <c r="A47" s="40" t="s">
        <v>186</v>
      </c>
      <c r="B47" s="41">
        <v>0.02</v>
      </c>
      <c r="C47" s="37">
        <v>1.5E-6</v>
      </c>
    </row>
    <row r="48" spans="1:19" x14ac:dyDescent="0.3">
      <c r="A48" s="40" t="s">
        <v>187</v>
      </c>
      <c r="B48" s="41">
        <v>2.5000000000000001E-2</v>
      </c>
      <c r="C48" s="37">
        <v>1.5E-6</v>
      </c>
    </row>
  </sheetData>
  <mergeCells count="2">
    <mergeCell ref="S24:T24"/>
    <mergeCell ref="S23:T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stikledning</vt:lpstr>
      <vt:lpstr>husledning</vt:lpstr>
      <vt:lpstr>Sheet1</vt:lpstr>
      <vt:lpstr>Henvisning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Gitte</dc:creator>
  <cp:keywords/>
  <dc:description/>
  <cp:lastModifiedBy>Thomas Saltoft Søndergaard Malm</cp:lastModifiedBy>
  <cp:revision/>
  <dcterms:created xsi:type="dcterms:W3CDTF">2009-10-06T12:07:04Z</dcterms:created>
  <dcterms:modified xsi:type="dcterms:W3CDTF">2026-04-30T08:17:44Z</dcterms:modified>
  <cp:category/>
  <cp:contentStatus/>
</cp:coreProperties>
</file>